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://bikube/Oppdrag/627615/01/Dokumenter/Hovedplan vann, avløp, overvann/"/>
    </mc:Choice>
  </mc:AlternateContent>
  <xr:revisionPtr revIDLastSave="0" documentId="13_ncr:1_{9510740F-A205-426F-8820-067034CEA429}" xr6:coauthVersionLast="45" xr6:coauthVersionMax="45" xr10:uidLastSave="{00000000-0000-0000-0000-000000000000}"/>
  <bookViews>
    <workbookView xWindow="-28920" yWindow="-120" windowWidth="29040" windowHeight="17640" xr2:uid="{B663CAB4-3696-44E9-A6B7-8E52EA2DF611}"/>
  </bookViews>
  <sheets>
    <sheet name="pe-beregning" sheetId="1" r:id="rId1"/>
    <sheet name="Fra ROS-analysen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P17" i="1" l="1"/>
  <c r="H17" i="1"/>
  <c r="H15" i="1"/>
  <c r="C41" i="1"/>
  <c r="C40" i="1"/>
  <c r="C39" i="1"/>
  <c r="N15" i="1" l="1"/>
  <c r="N17" i="1"/>
  <c r="O11" i="1"/>
  <c r="O9" i="1"/>
  <c r="O8" i="1"/>
  <c r="O7" i="1"/>
  <c r="O6" i="1"/>
  <c r="O5" i="1"/>
  <c r="P29" i="1" l="1"/>
  <c r="O29" i="1"/>
  <c r="N29" i="1"/>
  <c r="N28" i="1"/>
  <c r="N30" i="1" s="1"/>
  <c r="P10" i="1"/>
  <c r="P5" i="1"/>
  <c r="P6" i="1"/>
  <c r="P7" i="1"/>
  <c r="P8" i="1"/>
  <c r="P9" i="1"/>
  <c r="P11" i="1"/>
  <c r="P12" i="1"/>
  <c r="P13" i="1"/>
  <c r="P14" i="1"/>
  <c r="P15" i="1"/>
  <c r="P16" i="1"/>
  <c r="P19" i="1"/>
  <c r="P20" i="1"/>
  <c r="P21" i="1"/>
  <c r="P22" i="1"/>
  <c r="P23" i="1"/>
  <c r="P24" i="1"/>
  <c r="P25" i="1"/>
  <c r="P18" i="1"/>
  <c r="O18" i="1" a="1"/>
  <c r="O18" i="1" s="1"/>
  <c r="O17" i="1"/>
  <c r="O13" i="1"/>
  <c r="O14" i="1"/>
  <c r="O15" i="1"/>
  <c r="O28" i="1" s="1"/>
  <c r="O30" i="1" s="1"/>
  <c r="O16" i="1"/>
  <c r="O12" i="1"/>
  <c r="O10" i="1"/>
  <c r="P28" i="1" l="1"/>
  <c r="P30" i="1" s="1"/>
  <c r="O26" i="1"/>
  <c r="P26" i="1"/>
  <c r="F7" i="1"/>
  <c r="F5" i="1"/>
  <c r="N3" i="1" l="1"/>
  <c r="N11" i="1"/>
  <c r="H11" i="1"/>
  <c r="Q13" i="1" l="1"/>
  <c r="Q12" i="1"/>
  <c r="Q21" i="1"/>
  <c r="Q18" i="1"/>
  <c r="Q19" i="1"/>
  <c r="Q20" i="1"/>
  <c r="Q22" i="1"/>
  <c r="Q23" i="1"/>
  <c r="Q24" i="1"/>
  <c r="Q25" i="1"/>
  <c r="N21" i="1"/>
  <c r="N25" i="1"/>
  <c r="N24" i="1"/>
  <c r="N23" i="1"/>
  <c r="N22" i="1"/>
  <c r="N20" i="1"/>
  <c r="N19" i="1"/>
  <c r="N18" i="1"/>
  <c r="G25" i="1"/>
  <c r="G24" i="1"/>
  <c r="G23" i="1"/>
  <c r="G22" i="1"/>
  <c r="G21" i="1"/>
  <c r="G20" i="1"/>
  <c r="G19" i="1"/>
  <c r="G18" i="1"/>
  <c r="Q17" i="1"/>
  <c r="N16" i="1"/>
  <c r="N14" i="1"/>
  <c r="N13" i="1"/>
  <c r="N12" i="1"/>
  <c r="Q10" i="1"/>
  <c r="Q9" i="1"/>
  <c r="Q8" i="1"/>
  <c r="Q7" i="1"/>
  <c r="Q6" i="1"/>
  <c r="F11" i="1"/>
  <c r="Q11" i="1" s="1"/>
  <c r="N10" i="1"/>
  <c r="N9" i="1"/>
  <c r="N8" i="1"/>
  <c r="N7" i="1"/>
  <c r="N6" i="1"/>
  <c r="N5" i="1"/>
  <c r="Q5" i="1" l="1"/>
  <c r="Q14" i="1"/>
  <c r="Q15" i="1"/>
  <c r="Q16" i="1"/>
  <c r="N26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tc={27F865F5-C4D7-41FA-9004-EB4F2DDD8BC6}</author>
    <author>tc={8B5894F4-D8D0-457F-8ABC-9FE324E5A4F3}</author>
  </authors>
  <commentList>
    <comment ref="H15" authorId="0" shapeId="0" xr:uid="{27F865F5-C4D7-41FA-9004-EB4F2DDD8BC6}">
      <text>
        <t>[Kommentartråd]
Din versjon av Excel lar deg lese denne kommentartråden. Eventuelle endringer i den vil imidlertid bli fjernet hvis filen åpnes i en nyere versjon av Excel. Finn ut mer: https://go.microsoft.com/fwlink/?linkid=870924
Kommentar:
    Sole gjestegård</t>
      </text>
    </comment>
    <comment ref="H17" authorId="1" shapeId="0" xr:uid="{8B5894F4-D8D0-457F-8ABC-9FE324E5A4F3}">
      <text>
        <t>[Kommentartråd]
Din versjon av Excel lar deg lese denne kommentartråden. Eventuelle endringer i den vil imidlertid bli fjernet hvis filen åpnes i en nyere versjon av Excel. Finn ut mer: https://go.microsoft.com/fwlink/?linkid=870924
Kommentar:
    Senger på kroa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<sst xmlns="http://schemas.openxmlformats.org/spreadsheetml/2006/main" count="153" uniqueCount="138">
  <si>
    <t>PA16</t>
  </si>
  <si>
    <t>Fossliseteråsen</t>
  </si>
  <si>
    <t>Hotell</t>
  </si>
  <si>
    <t>Skole</t>
  </si>
  <si>
    <t>Andre</t>
  </si>
  <si>
    <t>PA13</t>
  </si>
  <si>
    <t>Leineseter</t>
  </si>
  <si>
    <t>BruksenhetPunkt</t>
  </si>
  <si>
    <t>AdressePunkt</t>
  </si>
  <si>
    <t xml:space="preserve">PA14 </t>
  </si>
  <si>
    <t>Fjellhvil</t>
  </si>
  <si>
    <t>PA11</t>
  </si>
  <si>
    <t>Snersrud</t>
  </si>
  <si>
    <t>PA12</t>
  </si>
  <si>
    <t>Skaseth</t>
  </si>
  <si>
    <t>Kommentar</t>
  </si>
  <si>
    <t>Det er bare én bolig på kartet</t>
  </si>
  <si>
    <t xml:space="preserve">Adressepunkt ser mest riktig ut her. </t>
  </si>
  <si>
    <t>Adressepunkt ser mest riktig ut, men dt er minst ett punkt for mye.</t>
  </si>
  <si>
    <t xml:space="preserve">Bruksenhet angir dagens dituasjon, adressepunkt framtidig. Bruksenhetpunkt har ett punkt for mye. </t>
  </si>
  <si>
    <t>Enheter</t>
  </si>
  <si>
    <t xml:space="preserve">PA20 </t>
  </si>
  <si>
    <t>Sommero</t>
  </si>
  <si>
    <t xml:space="preserve">PA15 </t>
  </si>
  <si>
    <t>Norehammeren</t>
  </si>
  <si>
    <t xml:space="preserve">PA22 </t>
  </si>
  <si>
    <t>Kryllingheimen</t>
  </si>
  <si>
    <t>PA23</t>
  </si>
  <si>
    <t>Brinken</t>
  </si>
  <si>
    <t>Ja</t>
  </si>
  <si>
    <t xml:space="preserve">RA21 </t>
  </si>
  <si>
    <t>Noresund RA selvfall</t>
  </si>
  <si>
    <t xml:space="preserve">PA26 </t>
  </si>
  <si>
    <t>Sole</t>
  </si>
  <si>
    <t xml:space="preserve">PA25 </t>
  </si>
  <si>
    <t>Olberg</t>
  </si>
  <si>
    <t>PA24</t>
  </si>
  <si>
    <t>Slevika</t>
  </si>
  <si>
    <t>Campingplass</t>
  </si>
  <si>
    <t>PA32</t>
  </si>
  <si>
    <t>Briskåsen</t>
  </si>
  <si>
    <t>PA33</t>
  </si>
  <si>
    <t>Juvbekkveien</t>
  </si>
  <si>
    <t xml:space="preserve">PA34 </t>
  </si>
  <si>
    <t>Mehlum</t>
  </si>
  <si>
    <t>PA31</t>
  </si>
  <si>
    <t>Kørpen</t>
  </si>
  <si>
    <t>RA31</t>
  </si>
  <si>
    <t>Krøderen RA selvfall</t>
  </si>
  <si>
    <t xml:space="preserve">PA36 </t>
  </si>
  <si>
    <t>Glesnetangen</t>
  </si>
  <si>
    <t>Glesnemoen</t>
  </si>
  <si>
    <t>PA35</t>
  </si>
  <si>
    <t>Stryken</t>
  </si>
  <si>
    <t xml:space="preserve">PA37 </t>
  </si>
  <si>
    <t xml:space="preserve">Adressepunkt ser mest riktig ut her. Dog minst to for mange. </t>
  </si>
  <si>
    <t xml:space="preserve">Adressepunkt ser mest riktig ut her. Ser ut som et par hus mangler adresse. </t>
  </si>
  <si>
    <t xml:space="preserve">Butikk etc. </t>
  </si>
  <si>
    <t>Campingplassen, kroa og to hus</t>
  </si>
  <si>
    <t>Hytter</t>
  </si>
  <si>
    <t>Boliger</t>
  </si>
  <si>
    <t>Barnehage</t>
  </si>
  <si>
    <t>Kommuneadministrasjon</t>
  </si>
  <si>
    <t>Omsorgsboliger</t>
  </si>
  <si>
    <t>1 forretnngsbygg, 1 kontor/forsamlingslokale, + spillvann fra PA24 Slevika</t>
  </si>
  <si>
    <t>3 bensinstasjoner, 1 hotell, 1 kontorbygg + spillvann fra PA25 Olberg</t>
  </si>
  <si>
    <t>Sole gjestegrd</t>
  </si>
  <si>
    <t>118 sengeplasser</t>
  </si>
  <si>
    <t>Krøderen Kro</t>
  </si>
  <si>
    <t>130 sitteplasser i kafeteria</t>
  </si>
  <si>
    <t>11 rom for overnatting</t>
  </si>
  <si>
    <t>Noresund barneskole</t>
  </si>
  <si>
    <t>85 elever</t>
  </si>
  <si>
    <t>Pe pr bolig</t>
  </si>
  <si>
    <t xml:space="preserve">33 av adressepunktene er enda ikke bygd. </t>
  </si>
  <si>
    <t>244 rom og suiter</t>
  </si>
  <si>
    <t>161 leiligheter</t>
  </si>
  <si>
    <t>Senger</t>
  </si>
  <si>
    <t>???</t>
  </si>
  <si>
    <t>Norefjell ski og spa</t>
  </si>
  <si>
    <t>Noreheim</t>
  </si>
  <si>
    <t>Pe pr enhet omsorgsbolig/sykehjem</t>
  </si>
  <si>
    <t>60-70 campingvognplasser</t>
  </si>
  <si>
    <t xml:space="preserve">Pe pr campingvogn </t>
  </si>
  <si>
    <t>Stk</t>
  </si>
  <si>
    <t>PA20 Sommero</t>
  </si>
  <si>
    <r>
      <t xml:space="preserve">Spillvann fra NVA (hoteller og fritidsbebyggelse) </t>
    </r>
    <r>
      <rPr>
        <sz val="8"/>
        <color theme="1"/>
        <rFont val="Calibri"/>
        <family val="2"/>
      </rPr>
      <t> </t>
    </r>
  </si>
  <si>
    <t>PA22 Kryllingheimen</t>
  </si>
  <si>
    <t>16 eneboliger</t>
  </si>
  <si>
    <t>31 omsorgsenheter</t>
  </si>
  <si>
    <t>42 institusjonsplasser i syke-/aldershjem</t>
  </si>
  <si>
    <t>PA23 Brinken</t>
  </si>
  <si>
    <t>5 eneboliger</t>
  </si>
  <si>
    <t>1 barnehage</t>
  </si>
  <si>
    <t>1 skole</t>
  </si>
  <si>
    <t>1 kommunaadm.</t>
  </si>
  <si>
    <t>PA24 Slevika</t>
  </si>
  <si>
    <t>1 Veikro/motell</t>
  </si>
  <si>
    <t>1 campingplass</t>
  </si>
  <si>
    <t>PA25 Olberg</t>
  </si>
  <si>
    <t>46 eneboliger</t>
  </si>
  <si>
    <t xml:space="preserve">1 Forretningsbygg </t>
  </si>
  <si>
    <t>1 Kontor/ forsamlingslokale</t>
  </si>
  <si>
    <t>+ spillvann fra PA24 Slevika</t>
  </si>
  <si>
    <t>PA26 Sole</t>
  </si>
  <si>
    <t>33 eneboliger</t>
  </si>
  <si>
    <t>3 bensinstasjoner</t>
  </si>
  <si>
    <t>1 hotell</t>
  </si>
  <si>
    <t>1 kjøpesenter</t>
  </si>
  <si>
    <t>1 kontorbygg (turistinformasjon)</t>
  </si>
  <si>
    <r>
      <t>+ spillvann fra PA25 Olberg</t>
    </r>
    <r>
      <rPr>
        <sz val="10"/>
        <color theme="1"/>
        <rFont val="Calibri"/>
        <family val="2"/>
      </rPr>
      <t xml:space="preserve"> </t>
    </r>
  </si>
  <si>
    <r>
      <t> </t>
    </r>
    <r>
      <rPr>
        <sz val="10"/>
        <color theme="1"/>
        <rFont val="Calibri"/>
        <family val="2"/>
        <scheme val="minor"/>
      </rPr>
      <t>Lena: sjekk om PA20 Sommero bare får avløpsvann fra NVA</t>
    </r>
  </si>
  <si>
    <t>pe (total belastning inkl. oppstrøms soner)</t>
  </si>
  <si>
    <t>Sykehjem/
aldershjem plasser</t>
  </si>
  <si>
    <t>60 er ikke bygget.</t>
  </si>
  <si>
    <t>Muligens tatt med litt for mange rundt pumpesonen. Telt antall hytter som ligger utenfor pumpesonen.</t>
  </si>
  <si>
    <t xml:space="preserve">Metode: gis analyse ved å beregne antall adressepunkt/brukspunkt i tillegg manuell telling av hytter. </t>
  </si>
  <si>
    <t>Antall hytter er telt manuelt i kartet.</t>
  </si>
  <si>
    <t>Det er noen flere bruksenhetpunkter enn det er hytter. Antall hytter er derfor telt manuelt i kartet.</t>
  </si>
  <si>
    <t>Telt manuelt</t>
  </si>
  <si>
    <t xml:space="preserve"> Telt manuelt</t>
  </si>
  <si>
    <t>Pe i Noresund/Norefjell rensedistrikt</t>
  </si>
  <si>
    <t>Totalt (kontroll)</t>
  </si>
  <si>
    <t xml:space="preserve">pe min. (2 pe i hyttene, og 10 % belegg) </t>
  </si>
  <si>
    <t>pe maks. (5 pe per hytte, 100 % belegg på hyttene og 1400 pe hotell)</t>
  </si>
  <si>
    <t>pe (egen sone, antatt middelsituasjon)</t>
  </si>
  <si>
    <t>Pe pr fritidsbolig (middelsituasjon)</t>
  </si>
  <si>
    <t xml:space="preserve">Maks antall gjester de noen gang har hatt på Norefjell hotell er 1400, så vi har derfor antatt at 80 % av dette er en middelbelastning. </t>
  </si>
  <si>
    <t>Middelsituasjon</t>
  </si>
  <si>
    <t>Maks.situasjon</t>
  </si>
  <si>
    <t>Min.situasjon</t>
  </si>
  <si>
    <t>Pe i Krøderen rensedistrikt</t>
  </si>
  <si>
    <t>Pe pr fritidsbolig (makssituasjon)</t>
  </si>
  <si>
    <t>Pe pr fritidsbolig (min.situasjon)</t>
  </si>
  <si>
    <t xml:space="preserve">Antatt 50 % belegg på Sole gjestegår i en middelsituasjon
Antatt 20 % belegg på Sole gjestegård i minimumsituasjon. </t>
  </si>
  <si>
    <t xml:space="preserve">Antatt 50 % belegg på kroa og campingplass i middelsituasjon.
Antatt 20 % belegg på kroa og campingplass i minimumsituasjon </t>
  </si>
  <si>
    <t>Norefjell/Noresund rensedistrikt</t>
  </si>
  <si>
    <t xml:space="preserve">Hotellsenger mv.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</si>
</sst>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14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70C0"/>
      <name val="Calibri"/>
      <family val="2"/>
      <scheme val="minor"/>
    </font>
    <font>
      <sz val="11"/>
      <name val="Calibri"/>
      <family val="2"/>
      <scheme val="minor"/>
    </font>
    <font>
      <b/>
      <sz val="10"/>
      <color theme="1"/>
      <name val="Calibri"/>
      <family val="2"/>
    </font>
    <font>
      <sz val="10"/>
      <color rgb="FF0070C0"/>
      <name val="Calibri"/>
      <family val="2"/>
    </font>
    <font>
      <sz val="8"/>
      <color theme="1"/>
      <name val="Calibri"/>
      <family val="2"/>
    </font>
    <font>
      <sz val="10"/>
      <color theme="1"/>
      <name val="Calibri"/>
      <family val="2"/>
    </font>
    <font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sz val="9"/>
      <color indexed="8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92D05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BFBFBF"/>
      </left>
      <right style="medium">
        <color rgb="FFBFBFBF"/>
      </right>
      <top style="medium">
        <color rgb="FFBFBFBF"/>
      </top>
      <bottom style="medium">
        <color rgb="FFBFBFBF"/>
      </bottom>
      <diagonal/>
    </border>
    <border>
      <left/>
      <right style="medium">
        <color rgb="FFBFBFBF"/>
      </right>
      <top style="medium">
        <color rgb="FFBFBFBF"/>
      </top>
      <bottom style="medium">
        <color rgb="FFBFBFBF"/>
      </bottom>
      <diagonal/>
    </border>
    <border>
      <left style="medium">
        <color rgb="FFBFBFBF"/>
      </left>
      <right style="medium">
        <color rgb="FFBFBFBF"/>
      </right>
      <top/>
      <bottom style="medium">
        <color rgb="FFBFBFBF"/>
      </bottom>
      <diagonal/>
    </border>
    <border>
      <left style="medium">
        <color rgb="FFBFBFBF"/>
      </left>
      <right style="medium">
        <color rgb="FFBFBFBF"/>
      </right>
      <top/>
      <bottom/>
      <diagonal/>
    </border>
    <border>
      <left/>
      <right style="medium">
        <color rgb="FFBFBFBF"/>
      </right>
      <top/>
      <bottom style="medium">
        <color rgb="FFBFBFBF"/>
      </bottom>
      <diagonal/>
    </border>
    <border>
      <left/>
      <right style="medium">
        <color rgb="FFBFBFBF"/>
      </right>
      <top/>
      <bottom/>
      <diagonal/>
    </border>
    <border>
      <left style="medium">
        <color rgb="FFBFBFBF"/>
      </left>
      <right style="medium">
        <color rgb="FFBFBFBF"/>
      </right>
      <top style="medium">
        <color rgb="FFBFBFBF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1" fillId="0" borderId="0" applyFont="0" applyFill="0" applyBorder="0" applyAlignment="0" applyProtection="0"/>
  </cellStyleXfs>
  <cellXfs count="58">
    <xf numFmtId="0" fontId="0" fillId="0" borderId="0" xfId="0"/>
    <xf numFmtId="0" fontId="2" fillId="0" borderId="0" xfId="0" applyFont="1"/>
    <xf numFmtId="0" fontId="0" fillId="0" borderId="1" xfId="0" applyBorder="1"/>
    <xf numFmtId="0" fontId="2" fillId="0" borderId="1" xfId="0" applyFont="1" applyBorder="1"/>
    <xf numFmtId="0" fontId="3" fillId="0" borderId="1" xfId="0" applyFont="1" applyBorder="1"/>
    <xf numFmtId="0" fontId="0" fillId="0" borderId="1" xfId="0" applyBorder="1" applyAlignment="1">
      <alignment wrapText="1"/>
    </xf>
    <xf numFmtId="0" fontId="4" fillId="0" borderId="1" xfId="0" applyFont="1" applyBorder="1"/>
    <xf numFmtId="0" fontId="0" fillId="0" borderId="0" xfId="0" applyFill="1" applyBorder="1" applyAlignment="1">
      <alignment wrapText="1"/>
    </xf>
    <xf numFmtId="0" fontId="0" fillId="0" borderId="1" xfId="0" applyFill="1" applyBorder="1" applyAlignment="1">
      <alignment wrapText="1"/>
    </xf>
    <xf numFmtId="0" fontId="0" fillId="0" borderId="0" xfId="0" applyBorder="1"/>
    <xf numFmtId="0" fontId="0" fillId="0" borderId="0" xfId="0" applyBorder="1" applyAlignment="1">
      <alignment wrapText="1"/>
    </xf>
    <xf numFmtId="0" fontId="3" fillId="0" borderId="1" xfId="0" applyFont="1" applyBorder="1" applyAlignment="1">
      <alignment wrapText="1"/>
    </xf>
    <xf numFmtId="0" fontId="4" fillId="0" borderId="1" xfId="0" applyFont="1" applyBorder="1" applyAlignment="1">
      <alignment wrapText="1"/>
    </xf>
    <xf numFmtId="0" fontId="5" fillId="0" borderId="2" xfId="0" applyFont="1" applyBorder="1" applyAlignment="1">
      <alignment vertical="center" wrapText="1"/>
    </xf>
    <xf numFmtId="0" fontId="6" fillId="0" borderId="3" xfId="0" applyFont="1" applyBorder="1" applyAlignment="1">
      <alignment vertical="center" wrapText="1"/>
    </xf>
    <xf numFmtId="0" fontId="6" fillId="0" borderId="7" xfId="0" applyFont="1" applyBorder="1" applyAlignment="1">
      <alignment vertical="center" wrapText="1"/>
    </xf>
    <xf numFmtId="0" fontId="6" fillId="0" borderId="6" xfId="0" applyFont="1" applyBorder="1" applyAlignment="1">
      <alignment vertical="center" wrapText="1"/>
    </xf>
    <xf numFmtId="0" fontId="10" fillId="0" borderId="0" xfId="0" applyFont="1" applyAlignment="1">
      <alignment vertical="center"/>
    </xf>
    <xf numFmtId="0" fontId="0" fillId="0" borderId="1" xfId="0" applyBorder="1" applyAlignment="1">
      <alignment horizontal="left"/>
    </xf>
    <xf numFmtId="0" fontId="2" fillId="0" borderId="0" xfId="0" applyFont="1" applyAlignment="1">
      <alignment wrapText="1"/>
    </xf>
    <xf numFmtId="0" fontId="2" fillId="3" borderId="9" xfId="0" applyFont="1" applyFill="1" applyBorder="1"/>
    <xf numFmtId="0" fontId="2" fillId="3" borderId="1" xfId="0" applyFont="1" applyFill="1" applyBorder="1"/>
    <xf numFmtId="0" fontId="2" fillId="3" borderId="1" xfId="0" applyFont="1" applyFill="1" applyBorder="1" applyAlignment="1">
      <alignment wrapText="1"/>
    </xf>
    <xf numFmtId="0" fontId="2" fillId="0" borderId="0" xfId="0" applyFont="1" applyBorder="1"/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3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1" fontId="0" fillId="0" borderId="0" xfId="0" applyNumberFormat="1" applyAlignment="1">
      <alignment horizontal="center"/>
    </xf>
    <xf numFmtId="0" fontId="2" fillId="3" borderId="1" xfId="0" applyFont="1" applyFill="1" applyBorder="1" applyAlignment="1">
      <alignment horizontal="center" wrapText="1"/>
    </xf>
    <xf numFmtId="1" fontId="0" fillId="2" borderId="1" xfId="0" applyNumberFormat="1" applyFill="1" applyBorder="1" applyAlignment="1">
      <alignment horizontal="center"/>
    </xf>
    <xf numFmtId="1" fontId="4" fillId="2" borderId="1" xfId="0" applyNumberFormat="1" applyFont="1" applyFill="1" applyBorder="1" applyAlignment="1">
      <alignment horizontal="center"/>
    </xf>
    <xf numFmtId="0" fontId="0" fillId="0" borderId="0" xfId="0" applyFill="1" applyAlignment="1">
      <alignment horizontal="center"/>
    </xf>
    <xf numFmtId="1" fontId="0" fillId="0" borderId="1" xfId="0" applyNumberFormat="1" applyFill="1" applyBorder="1" applyAlignment="1">
      <alignment horizontal="center"/>
    </xf>
    <xf numFmtId="1" fontId="4" fillId="0" borderId="1" xfId="0" applyNumberFormat="1" applyFon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2" fillId="4" borderId="1" xfId="0" applyFont="1" applyFill="1" applyBorder="1"/>
    <xf numFmtId="0" fontId="0" fillId="0" borderId="0" xfId="0" applyAlignment="1"/>
    <xf numFmtId="0" fontId="0" fillId="0" borderId="0" xfId="0" applyFill="1" applyAlignment="1"/>
    <xf numFmtId="164" fontId="0" fillId="0" borderId="0" xfId="1" applyNumberFormat="1" applyFont="1" applyAlignment="1">
      <alignment horizontal="center"/>
    </xf>
    <xf numFmtId="164" fontId="12" fillId="0" borderId="0" xfId="1" applyNumberFormat="1" applyFont="1" applyAlignment="1">
      <alignment horizontal="center"/>
    </xf>
    <xf numFmtId="0" fontId="12" fillId="0" borderId="0" xfId="0" applyFont="1" applyFill="1" applyAlignment="1">
      <alignment horizontal="left"/>
    </xf>
    <xf numFmtId="1" fontId="2" fillId="3" borderId="0" xfId="0" applyNumberFormat="1" applyFont="1" applyFill="1" applyBorder="1" applyAlignment="1">
      <alignment horizontal="center"/>
    </xf>
    <xf numFmtId="0" fontId="2" fillId="3" borderId="9" xfId="0" applyFont="1" applyFill="1" applyBorder="1" applyAlignment="1">
      <alignment horizontal="left"/>
    </xf>
    <xf numFmtId="0" fontId="2" fillId="3" borderId="1" xfId="0" applyFont="1" applyFill="1" applyBorder="1" applyAlignment="1">
      <alignment horizontal="left"/>
    </xf>
    <xf numFmtId="0" fontId="2" fillId="0" borderId="1" xfId="0" applyFont="1" applyBorder="1" applyAlignment="1">
      <alignment horizontal="left" vertical="top"/>
    </xf>
    <xf numFmtId="0" fontId="0" fillId="0" borderId="1" xfId="0" applyBorder="1" applyAlignment="1">
      <alignment horizontal="center" vertical="top"/>
    </xf>
    <xf numFmtId="0" fontId="2" fillId="3" borderId="9" xfId="0" applyFont="1" applyFill="1" applyBorder="1" applyAlignment="1">
      <alignment horizontal="left"/>
    </xf>
    <xf numFmtId="0" fontId="2" fillId="3" borderId="1" xfId="0" applyFont="1" applyFill="1" applyBorder="1" applyAlignment="1">
      <alignment horizontal="left"/>
    </xf>
    <xf numFmtId="0" fontId="0" fillId="0" borderId="1" xfId="0" applyBorder="1" applyAlignment="1">
      <alignment horizontal="left" vertical="top"/>
    </xf>
    <xf numFmtId="0" fontId="5" fillId="0" borderId="8" xfId="0" applyFont="1" applyBorder="1" applyAlignment="1">
      <alignment vertical="center" wrapText="1"/>
    </xf>
    <xf numFmtId="0" fontId="5" fillId="0" borderId="5" xfId="0" applyFont="1" applyBorder="1" applyAlignment="1">
      <alignment vertical="center" wrapText="1"/>
    </xf>
    <xf numFmtId="0" fontId="5" fillId="0" borderId="4" xfId="0" applyFont="1" applyBorder="1" applyAlignment="1">
      <alignment vertical="center" wrapText="1"/>
    </xf>
  </cellXfs>
  <cellStyles count="2">
    <cellStyle name="K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microsoft.com/office/2017/10/relationships/person" Target="persons/person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openxmlformats.org/officeDocument/2006/relationships/customXml" Target="../customXml/item3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2.xml"/><Relationship Id="rId4" Type="http://schemas.openxmlformats.org/officeDocument/2006/relationships/styles" Target="styles.xml"/><Relationship Id="rId9" Type="http://schemas.openxmlformats.org/officeDocument/2006/relationships/customXml" Target="../customXml/item1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Lena Solli Sal" id="{3FEA3577-C9EB-4C23-83C7-949D956C3C57}" userId="S::lena.sal@asplanviak.no::2b220c53-0aed-4c6c-b809-6137138c2f25" providerId="AD"/>
</personList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H15" dT="2021-10-07T11:16:38.44" personId="{3FEA3577-C9EB-4C23-83C7-949D956C3C57}" id="{27F865F5-C4D7-41FA-9004-EB4F2DDD8BC6}">
    <text>Sole gjestegård</text>
  </threadedComment>
  <threadedComment ref="H17" dT="2021-10-07T11:17:04.44" personId="{3FEA3577-C9EB-4C23-83C7-949D956C3C57}" id="{8B5894F4-D8D0-457F-8ABC-9FE324E5A4F3}">
    <text>Senger på kroa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3923A1-9779-4AC7-AB03-B4DECF9A5F97}">
  <dimension ref="A2:R41"/>
  <sheetViews>
    <sheetView tabSelected="1" topLeftCell="A7" zoomScaleNormal="100" workbookViewId="0">
      <pane xSplit="1" topLeftCell="E1" activePane="topRight" state="frozen"/>
      <selection activeCell="A6" sqref="A6"/>
      <selection pane="topRight" activeCell="O32" sqref="O32"/>
    </sheetView>
  </sheetViews>
  <sheetFormatPr baseColWidth="10" defaultRowHeight="15" x14ac:dyDescent="0.25"/>
  <cols>
    <col min="1" max="1" width="8.5703125" style="1" customWidth="1"/>
    <col min="2" max="2" width="20" style="1" customWidth="1"/>
    <col min="3" max="3" width="17" style="24" customWidth="1"/>
    <col min="4" max="4" width="14.42578125" style="24" customWidth="1"/>
    <col min="5" max="5" width="40.7109375" customWidth="1"/>
    <col min="6" max="6" width="6" customWidth="1"/>
    <col min="7" max="7" width="7.85546875" customWidth="1"/>
    <col min="8" max="8" width="7.28515625" customWidth="1"/>
    <col min="9" max="9" width="6.7109375" customWidth="1"/>
    <col min="10" max="10" width="10.85546875" customWidth="1"/>
    <col min="11" max="11" width="15.5703125" customWidth="1"/>
    <col min="12" max="12" width="13" customWidth="1"/>
    <col min="13" max="13" width="35.140625" customWidth="1"/>
    <col min="14" max="14" width="17" style="24" customWidth="1"/>
    <col min="15" max="15" width="21.42578125" style="24" customWidth="1"/>
    <col min="16" max="16" width="17" style="24" customWidth="1"/>
    <col min="17" max="17" width="17" style="37" customWidth="1"/>
    <col min="18" max="18" width="38.28515625" customWidth="1"/>
    <col min="19" max="19" width="90.28515625" customWidth="1"/>
  </cols>
  <sheetData>
    <row r="2" spans="1:18" ht="45" x14ac:dyDescent="0.25">
      <c r="E2" s="19" t="s">
        <v>116</v>
      </c>
    </row>
    <row r="3" spans="1:18" ht="0.75" customHeight="1" x14ac:dyDescent="0.25">
      <c r="C3" s="25" t="s">
        <v>7</v>
      </c>
      <c r="D3" s="25" t="s">
        <v>8</v>
      </c>
      <c r="N3" s="33">
        <f>4041+N14+N13+N12+N15+N16+N17</f>
        <v>4685.25</v>
      </c>
      <c r="O3" s="33"/>
      <c r="P3" s="33"/>
    </row>
    <row r="4" spans="1:18" s="1" customFormat="1" ht="77.25" customHeight="1" x14ac:dyDescent="0.25">
      <c r="A4" s="21"/>
      <c r="B4" s="21"/>
      <c r="C4" s="32" t="s">
        <v>20</v>
      </c>
      <c r="D4" s="32" t="s">
        <v>20</v>
      </c>
      <c r="E4" s="21" t="s">
        <v>15</v>
      </c>
      <c r="F4" s="21" t="s">
        <v>59</v>
      </c>
      <c r="G4" s="21" t="s">
        <v>60</v>
      </c>
      <c r="H4" s="21" t="s">
        <v>2</v>
      </c>
      <c r="I4" s="21" t="s">
        <v>3</v>
      </c>
      <c r="J4" s="21" t="s">
        <v>61</v>
      </c>
      <c r="K4" s="21" t="s">
        <v>63</v>
      </c>
      <c r="L4" s="22" t="s">
        <v>113</v>
      </c>
      <c r="M4" s="22" t="s">
        <v>4</v>
      </c>
      <c r="N4" s="34" t="s">
        <v>125</v>
      </c>
      <c r="O4" s="34" t="s">
        <v>124</v>
      </c>
      <c r="P4" s="34" t="s">
        <v>123</v>
      </c>
      <c r="Q4" s="34" t="s">
        <v>112</v>
      </c>
      <c r="R4" s="21" t="s">
        <v>15</v>
      </c>
    </row>
    <row r="5" spans="1:18" ht="45" x14ac:dyDescent="0.25">
      <c r="A5" s="3" t="s">
        <v>0</v>
      </c>
      <c r="B5" s="3" t="s">
        <v>1</v>
      </c>
      <c r="C5" s="26">
        <v>14</v>
      </c>
      <c r="D5" s="26">
        <v>46</v>
      </c>
      <c r="E5" s="5" t="s">
        <v>19</v>
      </c>
      <c r="F5" s="2">
        <f>C5-1</f>
        <v>13</v>
      </c>
      <c r="G5" s="2"/>
      <c r="H5" s="2"/>
      <c r="I5" s="2"/>
      <c r="J5" s="2"/>
      <c r="K5" s="2"/>
      <c r="L5" s="2"/>
      <c r="M5" s="5"/>
      <c r="N5" s="35">
        <f>(F5*2.5)</f>
        <v>32.5</v>
      </c>
      <c r="O5" s="38">
        <f>F5*L32</f>
        <v>52</v>
      </c>
      <c r="P5" s="38">
        <f>F5*0.1*2</f>
        <v>2.6</v>
      </c>
      <c r="Q5" s="38">
        <f>N5</f>
        <v>32.5</v>
      </c>
      <c r="R5" s="2" t="s">
        <v>74</v>
      </c>
    </row>
    <row r="6" spans="1:18" ht="45" x14ac:dyDescent="0.25">
      <c r="A6" s="3" t="s">
        <v>5</v>
      </c>
      <c r="B6" s="3" t="s">
        <v>6</v>
      </c>
      <c r="C6" s="26">
        <v>87</v>
      </c>
      <c r="D6" s="26">
        <v>106</v>
      </c>
      <c r="E6" s="8" t="s">
        <v>118</v>
      </c>
      <c r="F6" s="2">
        <v>59</v>
      </c>
      <c r="G6" s="2"/>
      <c r="H6" s="2"/>
      <c r="I6" s="2"/>
      <c r="J6" s="2"/>
      <c r="K6" s="2"/>
      <c r="L6" s="2"/>
      <c r="M6" s="5"/>
      <c r="N6" s="35">
        <f>(F6*2.5)</f>
        <v>147.5</v>
      </c>
      <c r="O6" s="38">
        <f>F6*L32</f>
        <v>236</v>
      </c>
      <c r="P6" s="38">
        <f>F6*0.1*2</f>
        <v>11.8</v>
      </c>
      <c r="Q6" s="38">
        <f>N6+N5</f>
        <v>180</v>
      </c>
      <c r="R6" s="2" t="s">
        <v>114</v>
      </c>
    </row>
    <row r="7" spans="1:18" ht="30" x14ac:dyDescent="0.25">
      <c r="A7" s="3" t="s">
        <v>9</v>
      </c>
      <c r="B7" s="3" t="s">
        <v>10</v>
      </c>
      <c r="C7" s="27">
        <v>22</v>
      </c>
      <c r="D7" s="27">
        <v>17</v>
      </c>
      <c r="E7" s="5" t="s">
        <v>18</v>
      </c>
      <c r="F7" s="2">
        <f>D7-1</f>
        <v>16</v>
      </c>
      <c r="G7" s="2"/>
      <c r="H7" s="4"/>
      <c r="I7" s="4"/>
      <c r="J7" s="4"/>
      <c r="K7" s="4"/>
      <c r="L7" s="4"/>
      <c r="M7" s="11"/>
      <c r="N7" s="35">
        <f>(F7*2.5)</f>
        <v>40</v>
      </c>
      <c r="O7" s="38">
        <f>F7*L32</f>
        <v>64</v>
      </c>
      <c r="P7" s="38">
        <f>F7*0.1*2</f>
        <v>3.2</v>
      </c>
      <c r="Q7" s="38">
        <f>N7</f>
        <v>40</v>
      </c>
      <c r="R7" s="2"/>
    </row>
    <row r="8" spans="1:18" x14ac:dyDescent="0.25">
      <c r="A8" s="3" t="s">
        <v>23</v>
      </c>
      <c r="B8" s="3" t="s">
        <v>24</v>
      </c>
      <c r="C8" s="27">
        <v>51</v>
      </c>
      <c r="D8" s="28">
        <v>39</v>
      </c>
      <c r="E8" s="8" t="s">
        <v>117</v>
      </c>
      <c r="F8" s="2">
        <v>32</v>
      </c>
      <c r="G8" s="2"/>
      <c r="H8" s="4"/>
      <c r="I8" s="4"/>
      <c r="J8" s="4"/>
      <c r="K8" s="4"/>
      <c r="L8" s="4"/>
      <c r="M8" s="11"/>
      <c r="N8" s="35">
        <f>(F8*2.5)</f>
        <v>80</v>
      </c>
      <c r="O8" s="38">
        <f>F8*L32</f>
        <v>128</v>
      </c>
      <c r="P8" s="38">
        <f>F8*0.1*2</f>
        <v>6.4</v>
      </c>
      <c r="Q8" s="38">
        <f>N8</f>
        <v>80</v>
      </c>
      <c r="R8" s="2"/>
    </row>
    <row r="9" spans="1:18" x14ac:dyDescent="0.25">
      <c r="A9" s="3" t="s">
        <v>11</v>
      </c>
      <c r="B9" s="3" t="s">
        <v>12</v>
      </c>
      <c r="C9" s="27">
        <v>122</v>
      </c>
      <c r="D9" s="28">
        <v>113</v>
      </c>
      <c r="E9" s="8" t="s">
        <v>117</v>
      </c>
      <c r="F9" s="2">
        <v>53</v>
      </c>
      <c r="G9" s="2"/>
      <c r="H9" s="2"/>
      <c r="I9" s="2"/>
      <c r="J9" s="2"/>
      <c r="K9" s="2"/>
      <c r="L9" s="2"/>
      <c r="M9" s="5"/>
      <c r="N9" s="35">
        <f>(F9*2.5)</f>
        <v>132.5</v>
      </c>
      <c r="O9" s="38">
        <f>F9*L32</f>
        <v>212</v>
      </c>
      <c r="P9" s="38">
        <f>F9*0.1*2</f>
        <v>10.600000000000001</v>
      </c>
      <c r="Q9" s="38">
        <f>N9</f>
        <v>132.5</v>
      </c>
      <c r="R9" s="2"/>
    </row>
    <row r="10" spans="1:18" x14ac:dyDescent="0.25">
      <c r="A10" s="3" t="s">
        <v>13</v>
      </c>
      <c r="B10" s="3" t="s">
        <v>14</v>
      </c>
      <c r="C10" s="27">
        <v>2</v>
      </c>
      <c r="D10" s="28">
        <v>1</v>
      </c>
      <c r="E10" s="5" t="s">
        <v>16</v>
      </c>
      <c r="F10" s="2">
        <v>0</v>
      </c>
      <c r="G10" s="2">
        <v>1</v>
      </c>
      <c r="H10" s="2"/>
      <c r="I10" s="2"/>
      <c r="J10" s="2"/>
      <c r="K10" s="2"/>
      <c r="L10" s="2"/>
      <c r="M10" s="5"/>
      <c r="N10" s="35">
        <f>G10*2.2</f>
        <v>2.2000000000000002</v>
      </c>
      <c r="O10" s="38">
        <f>G10*2.2</f>
        <v>2.2000000000000002</v>
      </c>
      <c r="P10" s="38">
        <f>N10</f>
        <v>2.2000000000000002</v>
      </c>
      <c r="Q10" s="38">
        <f>N10+N9</f>
        <v>134.69999999999999</v>
      </c>
      <c r="R10" s="2"/>
    </row>
    <row r="11" spans="1:18" ht="60" x14ac:dyDescent="0.25">
      <c r="A11" s="3" t="s">
        <v>21</v>
      </c>
      <c r="B11" s="3" t="s">
        <v>22</v>
      </c>
      <c r="C11" s="28">
        <v>1610</v>
      </c>
      <c r="D11" s="28">
        <v>1165</v>
      </c>
      <c r="E11" s="8" t="s">
        <v>115</v>
      </c>
      <c r="F11" s="2">
        <f>D11-152</f>
        <v>1013</v>
      </c>
      <c r="G11" s="2"/>
      <c r="H11" s="2">
        <f>1400*0.8</f>
        <v>1120</v>
      </c>
      <c r="I11" s="2"/>
      <c r="J11" s="2"/>
      <c r="K11" s="2"/>
      <c r="L11" s="2"/>
      <c r="M11" s="5"/>
      <c r="N11" s="35">
        <f>(F11*2.5)+H11</f>
        <v>3652.5</v>
      </c>
      <c r="O11" s="38">
        <f>(F11*L32)+1400</f>
        <v>5452</v>
      </c>
      <c r="P11" s="38">
        <f>F11*0.1*2</f>
        <v>202.60000000000002</v>
      </c>
      <c r="Q11" s="38">
        <f>N11+N10+N9+N8+N7+N6+N5</f>
        <v>4087.2</v>
      </c>
      <c r="R11" s="5" t="s">
        <v>127</v>
      </c>
    </row>
    <row r="12" spans="1:18" x14ac:dyDescent="0.25">
      <c r="A12" s="3" t="s">
        <v>25</v>
      </c>
      <c r="B12" s="3" t="s">
        <v>26</v>
      </c>
      <c r="C12" s="27">
        <v>106</v>
      </c>
      <c r="D12" s="28">
        <v>41</v>
      </c>
      <c r="E12" s="8" t="s">
        <v>119</v>
      </c>
      <c r="F12" s="2">
        <v>0</v>
      </c>
      <c r="G12" s="2">
        <v>16</v>
      </c>
      <c r="H12" s="2"/>
      <c r="I12" s="2"/>
      <c r="J12" s="2"/>
      <c r="K12" s="2">
        <v>31</v>
      </c>
      <c r="L12" s="2">
        <v>42</v>
      </c>
      <c r="M12" s="5"/>
      <c r="N12" s="35">
        <f>(G12*L27)+(K12*L29)+(L12*L29)</f>
        <v>144.69999999999999</v>
      </c>
      <c r="O12" s="38">
        <f>N12</f>
        <v>144.69999999999999</v>
      </c>
      <c r="P12" s="38">
        <f>N12</f>
        <v>144.69999999999999</v>
      </c>
      <c r="Q12" s="38">
        <f>N12</f>
        <v>144.69999999999999</v>
      </c>
      <c r="R12" s="2"/>
    </row>
    <row r="13" spans="1:18" x14ac:dyDescent="0.25">
      <c r="A13" s="3" t="s">
        <v>27</v>
      </c>
      <c r="B13" s="3" t="s">
        <v>28</v>
      </c>
      <c r="C13" s="27">
        <v>19</v>
      </c>
      <c r="D13" s="28">
        <v>10</v>
      </c>
      <c r="E13" s="8" t="s">
        <v>120</v>
      </c>
      <c r="F13" s="2">
        <v>0</v>
      </c>
      <c r="G13" s="2">
        <v>5</v>
      </c>
      <c r="H13" s="2"/>
      <c r="I13" s="2" t="s">
        <v>29</v>
      </c>
      <c r="J13" s="2" t="s">
        <v>29</v>
      </c>
      <c r="K13" s="2"/>
      <c r="L13" s="2"/>
      <c r="M13" s="5" t="s">
        <v>62</v>
      </c>
      <c r="N13" s="35">
        <f>(G13*L27)</f>
        <v>11</v>
      </c>
      <c r="O13" s="38">
        <f t="shared" ref="O13:O16" si="0">N13</f>
        <v>11</v>
      </c>
      <c r="P13" s="38">
        <f>N13</f>
        <v>11</v>
      </c>
      <c r="Q13" s="38">
        <f>N13</f>
        <v>11</v>
      </c>
      <c r="R13" s="2"/>
    </row>
    <row r="14" spans="1:18" x14ac:dyDescent="0.25">
      <c r="A14" s="3" t="s">
        <v>30</v>
      </c>
      <c r="B14" s="3" t="s">
        <v>31</v>
      </c>
      <c r="C14" s="27">
        <v>152</v>
      </c>
      <c r="D14" s="28">
        <v>79</v>
      </c>
      <c r="E14" s="5" t="s">
        <v>17</v>
      </c>
      <c r="F14" s="2"/>
      <c r="G14" s="2">
        <v>79</v>
      </c>
      <c r="H14" s="2"/>
      <c r="I14" s="2"/>
      <c r="J14" s="2"/>
      <c r="K14" s="2"/>
      <c r="L14" s="2"/>
      <c r="M14" s="5"/>
      <c r="N14" s="35">
        <f>G14*L27</f>
        <v>173.8</v>
      </c>
      <c r="O14" s="38">
        <f t="shared" si="0"/>
        <v>173.8</v>
      </c>
      <c r="P14" s="38">
        <f>N14</f>
        <v>173.8</v>
      </c>
      <c r="Q14" s="38">
        <f>SUM(N5:N17)</f>
        <v>4731.45</v>
      </c>
      <c r="R14" s="2"/>
    </row>
    <row r="15" spans="1:18" ht="60" x14ac:dyDescent="0.25">
      <c r="A15" s="3" t="s">
        <v>32</v>
      </c>
      <c r="B15" s="3" t="s">
        <v>33</v>
      </c>
      <c r="C15" s="27">
        <v>93</v>
      </c>
      <c r="D15" s="29">
        <v>42</v>
      </c>
      <c r="E15" s="5" t="s">
        <v>119</v>
      </c>
      <c r="F15" s="2">
        <v>0</v>
      </c>
      <c r="G15" s="2">
        <v>33</v>
      </c>
      <c r="H15" s="6">
        <f>F28</f>
        <v>118</v>
      </c>
      <c r="I15" s="6"/>
      <c r="J15" s="6"/>
      <c r="K15" s="6"/>
      <c r="L15" s="6"/>
      <c r="M15" s="12" t="s">
        <v>65</v>
      </c>
      <c r="N15" s="36">
        <f>(G15*L27)+(F28*0.5)</f>
        <v>131.60000000000002</v>
      </c>
      <c r="O15" s="38">
        <f t="shared" si="0"/>
        <v>131.60000000000002</v>
      </c>
      <c r="P15" s="39">
        <f>N15-(F28*0.8)</f>
        <v>37.200000000000017</v>
      </c>
      <c r="Q15" s="39">
        <f>N15+N16+N17</f>
        <v>314.75</v>
      </c>
      <c r="R15" s="12" t="s">
        <v>134</v>
      </c>
    </row>
    <row r="16" spans="1:18" ht="45" x14ac:dyDescent="0.25">
      <c r="A16" s="3" t="s">
        <v>34</v>
      </c>
      <c r="B16" s="3" t="s">
        <v>35</v>
      </c>
      <c r="C16" s="27">
        <v>109</v>
      </c>
      <c r="D16" s="29">
        <v>72</v>
      </c>
      <c r="E16" s="5" t="s">
        <v>119</v>
      </c>
      <c r="F16" s="2">
        <v>0</v>
      </c>
      <c r="G16" s="2">
        <v>46</v>
      </c>
      <c r="H16" s="6"/>
      <c r="I16" s="6"/>
      <c r="J16" s="6"/>
      <c r="K16" s="6"/>
      <c r="L16" s="6"/>
      <c r="M16" s="12" t="s">
        <v>64</v>
      </c>
      <c r="N16" s="36">
        <f>G16*L27</f>
        <v>101.2</v>
      </c>
      <c r="O16" s="38">
        <f t="shared" si="0"/>
        <v>101.2</v>
      </c>
      <c r="P16" s="39">
        <f>N16</f>
        <v>101.2</v>
      </c>
      <c r="Q16" s="39">
        <f>N16+N17</f>
        <v>183.15</v>
      </c>
      <c r="R16" s="2"/>
    </row>
    <row r="17" spans="1:18" ht="60" x14ac:dyDescent="0.25">
      <c r="A17" s="3" t="s">
        <v>36</v>
      </c>
      <c r="B17" s="3" t="s">
        <v>37</v>
      </c>
      <c r="C17" s="27">
        <v>37</v>
      </c>
      <c r="D17" s="28">
        <v>4</v>
      </c>
      <c r="E17" s="5" t="s">
        <v>58</v>
      </c>
      <c r="F17" s="2">
        <v>0</v>
      </c>
      <c r="G17" s="2">
        <v>2</v>
      </c>
      <c r="H17" s="2">
        <f>G30</f>
        <v>11</v>
      </c>
      <c r="I17" s="2"/>
      <c r="J17" s="2"/>
      <c r="K17" s="2"/>
      <c r="L17" s="2"/>
      <c r="M17" s="5" t="s">
        <v>38</v>
      </c>
      <c r="N17" s="35">
        <f>((G31*L30)+(G17*L27)+(G30*L29))*0.5</f>
        <v>81.95</v>
      </c>
      <c r="O17" s="38">
        <f>N17</f>
        <v>81.95</v>
      </c>
      <c r="P17" s="38">
        <f>N17*0.2</f>
        <v>16.39</v>
      </c>
      <c r="Q17" s="38">
        <f>N17</f>
        <v>81.95</v>
      </c>
      <c r="R17" s="12" t="s">
        <v>135</v>
      </c>
    </row>
    <row r="18" spans="1:18" x14ac:dyDescent="0.25">
      <c r="A18" s="3" t="s">
        <v>39</v>
      </c>
      <c r="B18" s="3" t="s">
        <v>40</v>
      </c>
      <c r="C18" s="27">
        <v>162</v>
      </c>
      <c r="D18" s="28">
        <v>83</v>
      </c>
      <c r="E18" s="5" t="s">
        <v>17</v>
      </c>
      <c r="F18" s="2"/>
      <c r="G18" s="2">
        <f t="shared" ref="G18:G25" si="1">D18</f>
        <v>83</v>
      </c>
      <c r="H18" s="2"/>
      <c r="I18" s="2"/>
      <c r="J18" s="2"/>
      <c r="K18" s="2"/>
      <c r="L18" s="2"/>
      <c r="M18" s="5"/>
      <c r="N18" s="35">
        <f t="shared" ref="N18:N25" si="2">G18*L$27</f>
        <v>182.60000000000002</v>
      </c>
      <c r="O18" s="38" cm="1">
        <f t="array" ref="O18:O25">N18:N25</f>
        <v>182.60000000000002</v>
      </c>
      <c r="P18" s="38">
        <f>N18</f>
        <v>182.60000000000002</v>
      </c>
      <c r="Q18" s="38">
        <f>N18+N19+N20</f>
        <v>222.20000000000002</v>
      </c>
      <c r="R18" s="2"/>
    </row>
    <row r="19" spans="1:18" x14ac:dyDescent="0.25">
      <c r="A19" s="3" t="s">
        <v>41</v>
      </c>
      <c r="B19" s="3" t="s">
        <v>42</v>
      </c>
      <c r="C19" s="27">
        <v>14</v>
      </c>
      <c r="D19" s="28">
        <v>8</v>
      </c>
      <c r="E19" s="5" t="s">
        <v>17</v>
      </c>
      <c r="F19" s="2"/>
      <c r="G19" s="2">
        <f t="shared" si="1"/>
        <v>8</v>
      </c>
      <c r="H19" s="2"/>
      <c r="I19" s="2"/>
      <c r="J19" s="2"/>
      <c r="K19" s="2"/>
      <c r="L19" s="2"/>
      <c r="M19" s="5"/>
      <c r="N19" s="35">
        <f t="shared" si="2"/>
        <v>17.600000000000001</v>
      </c>
      <c r="O19" s="38">
        <v>17.600000000000001</v>
      </c>
      <c r="P19" s="38">
        <f t="shared" ref="P19:P25" si="3">N19</f>
        <v>17.600000000000001</v>
      </c>
      <c r="Q19" s="38">
        <f>N19+N20</f>
        <v>39.6</v>
      </c>
      <c r="R19" s="2"/>
    </row>
    <row r="20" spans="1:18" x14ac:dyDescent="0.25">
      <c r="A20" s="3" t="s">
        <v>43</v>
      </c>
      <c r="B20" s="3" t="s">
        <v>44</v>
      </c>
      <c r="C20" s="27">
        <v>20</v>
      </c>
      <c r="D20" s="28">
        <v>10</v>
      </c>
      <c r="E20" s="5" t="s">
        <v>17</v>
      </c>
      <c r="F20" s="2"/>
      <c r="G20" s="2">
        <f t="shared" si="1"/>
        <v>10</v>
      </c>
      <c r="H20" s="2"/>
      <c r="I20" s="2"/>
      <c r="J20" s="2"/>
      <c r="K20" s="2"/>
      <c r="L20" s="2"/>
      <c r="M20" s="5"/>
      <c r="N20" s="35">
        <f t="shared" si="2"/>
        <v>22</v>
      </c>
      <c r="O20" s="38">
        <v>22</v>
      </c>
      <c r="P20" s="38">
        <f t="shared" si="3"/>
        <v>22</v>
      </c>
      <c r="Q20" s="38">
        <f>N20</f>
        <v>22</v>
      </c>
      <c r="R20" s="2"/>
    </row>
    <row r="21" spans="1:18" x14ac:dyDescent="0.25">
      <c r="A21" s="3" t="s">
        <v>45</v>
      </c>
      <c r="B21" s="3" t="s">
        <v>46</v>
      </c>
      <c r="C21" s="27">
        <v>80</v>
      </c>
      <c r="D21" s="28">
        <v>45</v>
      </c>
      <c r="E21" s="5" t="s">
        <v>17</v>
      </c>
      <c r="F21" s="2"/>
      <c r="G21" s="2">
        <f t="shared" si="1"/>
        <v>45</v>
      </c>
      <c r="H21" s="2"/>
      <c r="I21" s="2"/>
      <c r="J21" s="2"/>
      <c r="K21" s="2"/>
      <c r="L21" s="2"/>
      <c r="M21" s="5"/>
      <c r="N21" s="35">
        <f t="shared" si="2"/>
        <v>99.000000000000014</v>
      </c>
      <c r="O21" s="38">
        <v>99.000000000000014</v>
      </c>
      <c r="P21" s="38">
        <f t="shared" si="3"/>
        <v>99.000000000000014</v>
      </c>
      <c r="Q21" s="38">
        <f>N21+N20+N19+N18</f>
        <v>321.20000000000005</v>
      </c>
      <c r="R21" s="2"/>
    </row>
    <row r="22" spans="1:18" x14ac:dyDescent="0.25">
      <c r="A22" s="3" t="s">
        <v>47</v>
      </c>
      <c r="B22" s="3" t="s">
        <v>48</v>
      </c>
      <c r="C22" s="27">
        <v>130</v>
      </c>
      <c r="D22" s="28">
        <v>80</v>
      </c>
      <c r="E22" s="5" t="s">
        <v>17</v>
      </c>
      <c r="F22" s="2"/>
      <c r="G22" s="2">
        <f t="shared" si="1"/>
        <v>80</v>
      </c>
      <c r="H22" s="2"/>
      <c r="I22" s="2" t="s">
        <v>29</v>
      </c>
      <c r="J22" s="2"/>
      <c r="K22" s="2"/>
      <c r="L22" s="2"/>
      <c r="M22" s="5" t="s">
        <v>57</v>
      </c>
      <c r="N22" s="35">
        <f t="shared" si="2"/>
        <v>176</v>
      </c>
      <c r="O22" s="38">
        <v>176</v>
      </c>
      <c r="P22" s="38">
        <f t="shared" si="3"/>
        <v>176</v>
      </c>
      <c r="Q22" s="38">
        <f>SUM(N18:N25)</f>
        <v>726.00000000000011</v>
      </c>
      <c r="R22" s="2"/>
    </row>
    <row r="23" spans="1:18" ht="30" x14ac:dyDescent="0.25">
      <c r="A23" s="3" t="s">
        <v>49</v>
      </c>
      <c r="B23" s="3" t="s">
        <v>50</v>
      </c>
      <c r="C23" s="27">
        <v>56</v>
      </c>
      <c r="D23" s="28">
        <v>20</v>
      </c>
      <c r="E23" s="5" t="s">
        <v>56</v>
      </c>
      <c r="F23" s="2"/>
      <c r="G23" s="2">
        <f t="shared" si="1"/>
        <v>20</v>
      </c>
      <c r="H23" s="2"/>
      <c r="I23" s="2"/>
      <c r="J23" s="2"/>
      <c r="K23" s="2"/>
      <c r="L23" s="2"/>
      <c r="M23" s="5"/>
      <c r="N23" s="35">
        <f t="shared" si="2"/>
        <v>44</v>
      </c>
      <c r="O23" s="38">
        <v>44</v>
      </c>
      <c r="P23" s="38">
        <f t="shared" si="3"/>
        <v>44</v>
      </c>
      <c r="Q23" s="38">
        <f>N23</f>
        <v>44</v>
      </c>
      <c r="R23" s="2"/>
    </row>
    <row r="24" spans="1:18" ht="30" x14ac:dyDescent="0.25">
      <c r="A24" s="3" t="s">
        <v>52</v>
      </c>
      <c r="B24" s="3" t="s">
        <v>51</v>
      </c>
      <c r="C24" s="27">
        <v>112</v>
      </c>
      <c r="D24" s="28">
        <v>73</v>
      </c>
      <c r="E24" s="5" t="s">
        <v>55</v>
      </c>
      <c r="F24" s="2"/>
      <c r="G24" s="2">
        <f t="shared" si="1"/>
        <v>73</v>
      </c>
      <c r="H24" s="2"/>
      <c r="I24" s="2"/>
      <c r="J24" s="2"/>
      <c r="K24" s="2"/>
      <c r="L24" s="2"/>
      <c r="M24" s="5"/>
      <c r="N24" s="35">
        <f t="shared" si="2"/>
        <v>160.60000000000002</v>
      </c>
      <c r="O24" s="38">
        <v>160.60000000000002</v>
      </c>
      <c r="P24" s="38">
        <f t="shared" si="3"/>
        <v>160.60000000000002</v>
      </c>
      <c r="Q24" s="38">
        <f>N25+N23+N24</f>
        <v>228.8</v>
      </c>
      <c r="R24" s="2"/>
    </row>
    <row r="25" spans="1:18" x14ac:dyDescent="0.25">
      <c r="A25" s="3" t="s">
        <v>54</v>
      </c>
      <c r="B25" s="3" t="s">
        <v>53</v>
      </c>
      <c r="C25" s="27">
        <v>18</v>
      </c>
      <c r="D25" s="28">
        <v>11</v>
      </c>
      <c r="E25" s="5" t="s">
        <v>17</v>
      </c>
      <c r="F25" s="2"/>
      <c r="G25" s="2">
        <f t="shared" si="1"/>
        <v>11</v>
      </c>
      <c r="H25" s="2"/>
      <c r="I25" s="2"/>
      <c r="J25" s="2"/>
      <c r="K25" s="2"/>
      <c r="L25" s="2"/>
      <c r="M25" s="5"/>
      <c r="N25" s="35">
        <f t="shared" si="2"/>
        <v>24.200000000000003</v>
      </c>
      <c r="O25" s="38">
        <v>24.200000000000003</v>
      </c>
      <c r="P25" s="38">
        <f t="shared" si="3"/>
        <v>24.200000000000003</v>
      </c>
      <c r="Q25" s="38">
        <f>N25</f>
        <v>24.200000000000003</v>
      </c>
      <c r="R25" s="2"/>
    </row>
    <row r="26" spans="1:18" x14ac:dyDescent="0.25">
      <c r="A26" s="23"/>
      <c r="B26" s="23"/>
      <c r="C26" s="30"/>
      <c r="D26" s="31"/>
      <c r="E26" s="10"/>
      <c r="F26" s="9"/>
      <c r="G26" s="9"/>
      <c r="H26" s="9"/>
      <c r="I26" s="9"/>
      <c r="J26" s="9"/>
      <c r="K26" s="9"/>
      <c r="L26" s="9"/>
      <c r="M26" s="9"/>
      <c r="N26" s="47">
        <f>SUM(N5:N25)</f>
        <v>5457.4500000000007</v>
      </c>
      <c r="O26" s="47">
        <f>SUM(O5:O25)</f>
        <v>7516.4500000000007</v>
      </c>
      <c r="P26" s="47">
        <f>SUM(P5:P25)</f>
        <v>1449.6900000000003</v>
      </c>
      <c r="Q26" s="40"/>
    </row>
    <row r="27" spans="1:18" x14ac:dyDescent="0.25">
      <c r="B27" s="3"/>
      <c r="C27" s="28"/>
      <c r="D27" s="28"/>
      <c r="E27" s="2"/>
      <c r="F27" s="2" t="s">
        <v>77</v>
      </c>
      <c r="G27" s="2" t="s">
        <v>84</v>
      </c>
      <c r="H27" s="52" t="s">
        <v>73</v>
      </c>
      <c r="I27" s="53"/>
      <c r="J27" s="53"/>
      <c r="K27" s="53"/>
      <c r="L27" s="41">
        <v>2.2000000000000002</v>
      </c>
      <c r="N27" s="24" t="s">
        <v>128</v>
      </c>
      <c r="O27" s="24" t="s">
        <v>129</v>
      </c>
      <c r="P27" s="24" t="s">
        <v>130</v>
      </c>
    </row>
    <row r="28" spans="1:18" x14ac:dyDescent="0.25">
      <c r="B28" s="54" t="s">
        <v>66</v>
      </c>
      <c r="C28" s="54"/>
      <c r="D28" s="54"/>
      <c r="E28" s="8" t="s">
        <v>67</v>
      </c>
      <c r="F28" s="2">
        <v>118</v>
      </c>
      <c r="G28" s="2"/>
      <c r="H28" s="52" t="s">
        <v>126</v>
      </c>
      <c r="I28" s="53"/>
      <c r="J28" s="53"/>
      <c r="K28" s="53"/>
      <c r="L28" s="41">
        <v>2.5</v>
      </c>
      <c r="N28" s="44">
        <f>SUM(N5:N17)</f>
        <v>4731.45</v>
      </c>
      <c r="O28" s="44">
        <f>SUM(O5:O17)</f>
        <v>6790.45</v>
      </c>
      <c r="P28" s="44">
        <f>SUM(P5:P17)</f>
        <v>723.69000000000017</v>
      </c>
      <c r="Q28" s="42" t="s">
        <v>121</v>
      </c>
    </row>
    <row r="29" spans="1:18" x14ac:dyDescent="0.25">
      <c r="B29" s="54" t="s">
        <v>68</v>
      </c>
      <c r="C29" s="54"/>
      <c r="D29" s="54"/>
      <c r="E29" s="8" t="s">
        <v>69</v>
      </c>
      <c r="F29" s="2"/>
      <c r="G29" s="2"/>
      <c r="H29" s="52" t="s">
        <v>81</v>
      </c>
      <c r="I29" s="53"/>
      <c r="J29" s="53"/>
      <c r="K29" s="53"/>
      <c r="L29" s="41">
        <v>1.5</v>
      </c>
      <c r="N29" s="44">
        <f>SUM(N18:N25)</f>
        <v>726.00000000000011</v>
      </c>
      <c r="O29" s="44">
        <f>SUM(O18:O25)</f>
        <v>726.00000000000011</v>
      </c>
      <c r="P29" s="44">
        <f>SUM(P18:P25)</f>
        <v>726.00000000000011</v>
      </c>
      <c r="Q29" s="43" t="s">
        <v>131</v>
      </c>
    </row>
    <row r="30" spans="1:18" x14ac:dyDescent="0.25">
      <c r="B30" s="54"/>
      <c r="C30" s="54"/>
      <c r="D30" s="54"/>
      <c r="E30" s="8" t="s">
        <v>70</v>
      </c>
      <c r="F30" s="2" t="s">
        <v>78</v>
      </c>
      <c r="G30" s="18">
        <v>11</v>
      </c>
      <c r="H30" s="20" t="s">
        <v>83</v>
      </c>
      <c r="I30" s="21"/>
      <c r="J30" s="21"/>
      <c r="K30" s="21"/>
      <c r="L30" s="41">
        <v>2.2000000000000002</v>
      </c>
      <c r="N30" s="44">
        <f>N28+N29</f>
        <v>5457.45</v>
      </c>
      <c r="O30" s="44">
        <f>O28+O29</f>
        <v>7516.45</v>
      </c>
      <c r="P30" s="44">
        <f>P28+P29</f>
        <v>1449.6900000000003</v>
      </c>
      <c r="Q30" s="46" t="s">
        <v>122</v>
      </c>
    </row>
    <row r="31" spans="1:18" x14ac:dyDescent="0.25">
      <c r="B31" s="54"/>
      <c r="C31" s="54"/>
      <c r="D31" s="54"/>
      <c r="E31" s="8" t="s">
        <v>82</v>
      </c>
      <c r="F31" s="2"/>
      <c r="G31" s="18">
        <v>65</v>
      </c>
      <c r="N31" s="45"/>
      <c r="O31" s="45"/>
      <c r="P31" s="45"/>
    </row>
    <row r="32" spans="1:18" x14ac:dyDescent="0.25">
      <c r="B32" s="50" t="s">
        <v>79</v>
      </c>
      <c r="C32" s="51">
        <v>32148200</v>
      </c>
      <c r="D32" s="51"/>
      <c r="E32" s="8" t="s">
        <v>75</v>
      </c>
      <c r="F32" s="2"/>
      <c r="G32" s="2"/>
      <c r="H32" s="48" t="s">
        <v>132</v>
      </c>
      <c r="I32" s="49"/>
      <c r="J32" s="49"/>
      <c r="K32" s="49"/>
      <c r="L32" s="41">
        <v>4</v>
      </c>
    </row>
    <row r="33" spans="2:11" x14ac:dyDescent="0.25">
      <c r="B33" s="50"/>
      <c r="C33" s="51"/>
      <c r="D33" s="51"/>
      <c r="E33" s="8" t="s">
        <v>76</v>
      </c>
      <c r="F33" s="2"/>
      <c r="G33" s="2"/>
      <c r="H33" s="48" t="s">
        <v>133</v>
      </c>
      <c r="I33" s="49"/>
      <c r="J33" s="49"/>
      <c r="K33" s="49"/>
    </row>
    <row r="34" spans="2:11" x14ac:dyDescent="0.25">
      <c r="B34" s="3" t="s">
        <v>80</v>
      </c>
      <c r="C34" s="28"/>
      <c r="D34" s="28"/>
      <c r="E34" s="2"/>
      <c r="F34" s="2">
        <v>54</v>
      </c>
      <c r="G34" s="2"/>
    </row>
    <row r="36" spans="2:11" x14ac:dyDescent="0.25">
      <c r="B36" s="1" t="s">
        <v>71</v>
      </c>
      <c r="E36" s="7" t="s">
        <v>72</v>
      </c>
    </row>
    <row r="37" spans="2:11" x14ac:dyDescent="0.25">
      <c r="E37" s="7"/>
    </row>
    <row r="38" spans="2:11" x14ac:dyDescent="0.25">
      <c r="B38" s="1" t="s">
        <v>136</v>
      </c>
      <c r="E38" s="7"/>
    </row>
    <row r="39" spans="2:11" x14ac:dyDescent="0.25">
      <c r="B39" s="1" t="s">
        <v>60</v>
      </c>
      <c r="C39" s="24">
        <f>SUM(G5:G17)</f>
        <v>182</v>
      </c>
    </row>
    <row r="40" spans="2:11" x14ac:dyDescent="0.25">
      <c r="B40" s="1" t="s">
        <v>59</v>
      </c>
      <c r="C40" s="24">
        <f>SUM(F5:F17)</f>
        <v>1186</v>
      </c>
    </row>
    <row r="41" spans="2:11" x14ac:dyDescent="0.25">
      <c r="B41" s="1" t="s">
        <v>137</v>
      </c>
      <c r="C41" s="24">
        <f>H11</f>
        <v>1120</v>
      </c>
    </row>
  </sheetData>
  <mergeCells count="7">
    <mergeCell ref="B32:B33"/>
    <mergeCell ref="C32:D33"/>
    <mergeCell ref="H27:K27"/>
    <mergeCell ref="H28:K28"/>
    <mergeCell ref="H29:K29"/>
    <mergeCell ref="B29:D31"/>
    <mergeCell ref="B28:D28"/>
  </mergeCells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EC7899-0FC1-4AC5-AFD5-421D24AD89B0}">
  <dimension ref="A2:B23"/>
  <sheetViews>
    <sheetView workbookViewId="0">
      <selection activeCell="B3" sqref="B3:B22"/>
    </sheetView>
  </sheetViews>
  <sheetFormatPr baseColWidth="10" defaultRowHeight="15" x14ac:dyDescent="0.25"/>
  <cols>
    <col min="2" max="2" width="42.85546875" customWidth="1"/>
  </cols>
  <sheetData>
    <row r="2" spans="1:2" ht="15.75" thickBot="1" x14ac:dyDescent="0.3"/>
    <row r="3" spans="1:2" ht="26.25" thickBot="1" x14ac:dyDescent="0.3">
      <c r="A3" s="13" t="s">
        <v>85</v>
      </c>
      <c r="B3" s="14" t="s">
        <v>86</v>
      </c>
    </row>
    <row r="4" spans="1:2" x14ac:dyDescent="0.25">
      <c r="A4" s="55" t="s">
        <v>87</v>
      </c>
      <c r="B4" s="15" t="s">
        <v>88</v>
      </c>
    </row>
    <row r="5" spans="1:2" x14ac:dyDescent="0.25">
      <c r="A5" s="56"/>
      <c r="B5" s="15" t="s">
        <v>89</v>
      </c>
    </row>
    <row r="6" spans="1:2" ht="15.75" thickBot="1" x14ac:dyDescent="0.3">
      <c r="A6" s="57"/>
      <c r="B6" s="16" t="s">
        <v>90</v>
      </c>
    </row>
    <row r="7" spans="1:2" x14ac:dyDescent="0.25">
      <c r="A7" s="55" t="s">
        <v>91</v>
      </c>
      <c r="B7" s="15" t="s">
        <v>92</v>
      </c>
    </row>
    <row r="8" spans="1:2" x14ac:dyDescent="0.25">
      <c r="A8" s="56"/>
      <c r="B8" s="15" t="s">
        <v>93</v>
      </c>
    </row>
    <row r="9" spans="1:2" x14ac:dyDescent="0.25">
      <c r="A9" s="56"/>
      <c r="B9" s="15" t="s">
        <v>94</v>
      </c>
    </row>
    <row r="10" spans="1:2" ht="15.75" thickBot="1" x14ac:dyDescent="0.3">
      <c r="A10" s="57"/>
      <c r="B10" s="16" t="s">
        <v>95</v>
      </c>
    </row>
    <row r="11" spans="1:2" x14ac:dyDescent="0.25">
      <c r="A11" s="55" t="s">
        <v>96</v>
      </c>
      <c r="B11" s="15" t="s">
        <v>97</v>
      </c>
    </row>
    <row r="12" spans="1:2" ht="15.75" thickBot="1" x14ac:dyDescent="0.3">
      <c r="A12" s="57"/>
      <c r="B12" s="16" t="s">
        <v>98</v>
      </c>
    </row>
    <row r="13" spans="1:2" x14ac:dyDescent="0.25">
      <c r="A13" s="55" t="s">
        <v>99</v>
      </c>
      <c r="B13" s="15" t="s">
        <v>100</v>
      </c>
    </row>
    <row r="14" spans="1:2" x14ac:dyDescent="0.25">
      <c r="A14" s="56"/>
      <c r="B14" s="15" t="s">
        <v>101</v>
      </c>
    </row>
    <row r="15" spans="1:2" x14ac:dyDescent="0.25">
      <c r="A15" s="56"/>
      <c r="B15" s="15" t="s">
        <v>102</v>
      </c>
    </row>
    <row r="16" spans="1:2" ht="15.75" thickBot="1" x14ac:dyDescent="0.3">
      <c r="A16" s="57"/>
      <c r="B16" s="16" t="s">
        <v>103</v>
      </c>
    </row>
    <row r="17" spans="1:2" x14ac:dyDescent="0.25">
      <c r="A17" s="55" t="s">
        <v>104</v>
      </c>
      <c r="B17" s="15" t="s">
        <v>105</v>
      </c>
    </row>
    <row r="18" spans="1:2" x14ac:dyDescent="0.25">
      <c r="A18" s="56"/>
      <c r="B18" s="15" t="s">
        <v>106</v>
      </c>
    </row>
    <row r="19" spans="1:2" x14ac:dyDescent="0.25">
      <c r="A19" s="56"/>
      <c r="B19" s="15" t="s">
        <v>107</v>
      </c>
    </row>
    <row r="20" spans="1:2" x14ac:dyDescent="0.25">
      <c r="A20" s="56"/>
      <c r="B20" s="15" t="s">
        <v>108</v>
      </c>
    </row>
    <row r="21" spans="1:2" x14ac:dyDescent="0.25">
      <c r="A21" s="56"/>
      <c r="B21" s="15" t="s">
        <v>109</v>
      </c>
    </row>
    <row r="22" spans="1:2" ht="15.75" thickBot="1" x14ac:dyDescent="0.3">
      <c r="A22" s="57"/>
      <c r="B22" s="16" t="s">
        <v>110</v>
      </c>
    </row>
    <row r="23" spans="1:2" x14ac:dyDescent="0.25">
      <c r="A23" s="17" t="s">
        <v>111</v>
      </c>
    </row>
  </sheetData>
  <mergeCells count="5">
    <mergeCell ref="A4:A6"/>
    <mergeCell ref="A7:A10"/>
    <mergeCell ref="A11:A12"/>
    <mergeCell ref="A13:A16"/>
    <mergeCell ref="A17:A22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evisjon xmlns="872bd2bc-0f70-41ee-9539-9d5ba8c1642e" xsi:nil="true"/>
    <RevisjonsDato xmlns="872bd2bc-0f70-41ee-9539-9d5ba8c1642e" xsi:nil="true"/>
    <TilTekst xmlns="872bd2bc-0f70-41ee-9539-9d5ba8c1642e" xsi:nil="true"/>
    <Dokumenttema xmlns="872bd2bc-0f70-41ee-9539-9d5ba8c1642e">1</Dokumenttema>
    <FraTekst xmlns="872bd2bc-0f70-41ee-9539-9d5ba8c1642e" xsi:nil="true"/>
    <Dokumenttype xmlns="872bd2bc-0f70-41ee-9539-9d5ba8c1642e">Oppdragsdokument</Dokumenttype>
    <Oppdragsnummer xmlns="872bd2bc-0f70-41ee-9539-9d5ba8c1642e">627615-01</Oppdragsnummer>
    <Aktivitet xmlns="872bd2bc-0f70-41ee-9539-9d5ba8c1642e">1</Aktivitet>
    <KopiTekst xmlns="872bd2bc-0f70-41ee-9539-9d5ba8c1642e" xsi:nil="true"/>
    <_dlc_DocId xmlns="4830aaf3-3fc4-4e2f-b8b3-0d0921fed78c">627615-1101330372-356</_dlc_DocId>
    <_dlc_DocIdUrl xmlns="4830aaf3-3fc4-4e2f-b8b3-0d0921fed78c">
      <Url>http://bikube/Oppdrag/627615/01/_layouts/15/DocIdRedir.aspx?ID=627615-1101330372-356</Url>
      <Description>627615-1101330372-356</Description>
    </_dlc_DocIdUrl>
  </documentManagement>
</p:properti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48620AC0C887DB41816AEF283D198975" ma:contentTypeVersion="10" ma:contentTypeDescription="Opprett et nytt dokument." ma:contentTypeScope="" ma:versionID="9207a5ed581e29ca470d0d16d853d1e0">
  <xsd:schema xmlns:xsd="http://www.w3.org/2001/XMLSchema" xmlns:xs="http://www.w3.org/2001/XMLSchema" xmlns:p="http://schemas.microsoft.com/office/2006/metadata/properties" xmlns:ns2="4830aaf3-3fc4-4e2f-b8b3-0d0921fed78c" xmlns:ns3="872bd2bc-0f70-41ee-9539-9d5ba8c1642e" targetNamespace="http://schemas.microsoft.com/office/2006/metadata/properties" ma:root="true" ma:fieldsID="2ff5e0d34e22491a2e3a3b7640078540" ns2:_="" ns3:_="">
    <xsd:import namespace="4830aaf3-3fc4-4e2f-b8b3-0d0921fed78c"/>
    <xsd:import namespace="872bd2bc-0f70-41ee-9539-9d5ba8c1642e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Dokumenttype"/>
                <xsd:element ref="ns3:Aktivitet" minOccurs="0"/>
                <xsd:element ref="ns3:Dokumenttema" minOccurs="0"/>
                <xsd:element ref="ns3:Revisjon" minOccurs="0"/>
                <xsd:element ref="ns3:RevisjonsDato" minOccurs="0"/>
                <xsd:element ref="ns3:TilTekst" minOccurs="0"/>
                <xsd:element ref="ns3:FraTekst" minOccurs="0"/>
                <xsd:element ref="ns3:KopiTekst" minOccurs="0"/>
                <xsd:element ref="ns3:Oppdragsnummer" minOccurs="0"/>
                <xsd:element ref="ns3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830aaf3-3fc4-4e2f-b8b3-0d0921fed78c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kument-ID-verdi" ma:description="Verdien for dokument-IDen som er tilordnet elementet." ma:internalName="_dlc_DocId" ma:readOnly="true">
      <xsd:simpleType>
        <xsd:restriction base="dms:Text"/>
      </xsd:simpleType>
    </xsd:element>
    <xsd:element name="_dlc_DocIdUrl" ma:index="9" nillable="true" ma:displayName="Dokument-ID" ma:description="Fast kobling til dokumente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2bd2bc-0f70-41ee-9539-9d5ba8c1642e" elementFormDefault="qualified">
    <xsd:import namespace="http://schemas.microsoft.com/office/2006/documentManagement/types"/>
    <xsd:import namespace="http://schemas.microsoft.com/office/infopath/2007/PartnerControls"/>
    <xsd:element name="Dokumenttype" ma:index="11" ma:displayName="Dokumenttype" ma:default="Oppdragsdokument" ma:internalName="Dokumenttype">
      <xsd:simpleType>
        <xsd:restriction base="dms:Choice">
          <xsd:enumeration value="Oppdragsdokument"/>
          <xsd:enumeration value="Avtale"/>
          <xsd:enumeration value="Kart"/>
          <xsd:enumeration value="Notat"/>
          <xsd:enumeration value="Rapport"/>
          <xsd:enumeration value="Tegning"/>
          <xsd:enumeration value="Tilbud"/>
          <xsd:enumeration value="Brev"/>
          <xsd:enumeration value="Møte"/>
          <xsd:enumeration value="E-post"/>
          <xsd:enumeration value="Sjekkliste"/>
        </xsd:restriction>
      </xsd:simpleType>
    </xsd:element>
    <xsd:element name="Aktivitet" ma:index="12" nillable="true" ma:displayName="Aktivitet" ma:list="{6266FE6D-0871-4B0D-8E34-9779B8731736}" ma:internalName="Aktivitet" ma:showField="Title" ma:web="872bd2bc-0f70-41ee-9539-9d5ba8c1642e">
      <xsd:simpleType>
        <xsd:restriction base="dms:Lookup"/>
      </xsd:simpleType>
    </xsd:element>
    <xsd:element name="Dokumenttema" ma:index="13" nillable="true" ma:displayName="Dokumenttema" ma:list="{D34CFB01-04C0-4D01-8B75-971496E50E55}" ma:internalName="Dokumenttema" ma:showField="Title" ma:web="872bd2bc-0f70-41ee-9539-9d5ba8c1642e">
      <xsd:simpleType>
        <xsd:restriction base="dms:Lookup"/>
      </xsd:simpleType>
    </xsd:element>
    <xsd:element name="Revisjon" ma:index="14" nillable="true" ma:displayName="Revisjon" ma:internalName="Revisjon">
      <xsd:simpleType>
        <xsd:restriction base="dms:Text">
          <xsd:maxLength value="255"/>
        </xsd:restriction>
      </xsd:simpleType>
    </xsd:element>
    <xsd:element name="RevisjonsDato" ma:index="15" nillable="true" ma:displayName="RevisjonsDato" ma:format="DateOnly" ma:internalName="RevisjonsDato">
      <xsd:simpleType>
        <xsd:restriction base="dms:DateTime"/>
      </xsd:simpleType>
    </xsd:element>
    <xsd:element name="TilTekst" ma:index="16" nillable="true" ma:displayName="Til" ma:internalName="TilTekst">
      <xsd:simpleType>
        <xsd:restriction base="dms:Note">
          <xsd:maxLength value="255"/>
        </xsd:restriction>
      </xsd:simpleType>
    </xsd:element>
    <xsd:element name="FraTekst" ma:index="17" nillable="true" ma:displayName="Fra" ma:internalName="FraTekst">
      <xsd:simpleType>
        <xsd:restriction base="dms:Note">
          <xsd:maxLength value="255"/>
        </xsd:restriction>
      </xsd:simpleType>
    </xsd:element>
    <xsd:element name="KopiTekst" ma:index="18" nillable="true" ma:displayName="Kopi" ma:internalName="KopiTekst">
      <xsd:simpleType>
        <xsd:restriction base="dms:Note">
          <xsd:maxLength value="255"/>
        </xsd:restriction>
      </xsd:simpleType>
    </xsd:element>
    <xsd:element name="Oppdragsnummer" ma:index="19" nillable="true" ma:displayName="Oppdragsnummer" ma:default="627615-01" ma:internalName="Oppdragsnummer" ma:readOnly="false">
      <xsd:simpleType>
        <xsd:restriction base="dms:Text">
          <xsd:maxLength value="255"/>
        </xsd:restriction>
      </xsd:simpleType>
    </xsd:element>
    <xsd:element name="SharedWithUsers" ma:index="20" nillable="true" ma:displayName="Delt med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holdstype"/>
        <xsd:element ref="dc:title" minOccurs="0" maxOccurs="1" ma:index="4" ma:displayName="Tit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63174B5-490D-43DC-892A-74C0F6FC0B65}">
  <ds:schemaRefs>
    <ds:schemaRef ds:uri="http://www.w3.org/XML/1998/namespace"/>
    <ds:schemaRef ds:uri="4830aaf3-3fc4-4e2f-b8b3-0d0921fed78c"/>
    <ds:schemaRef ds:uri="http://schemas.microsoft.com/office/2006/metadata/properties"/>
    <ds:schemaRef ds:uri="http://purl.org/dc/dcmitype/"/>
    <ds:schemaRef ds:uri="http://purl.org/dc/elements/1.1/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http://purl.org/dc/terms/"/>
    <ds:schemaRef ds:uri="872bd2bc-0f70-41ee-9539-9d5ba8c1642e"/>
  </ds:schemaRefs>
</ds:datastoreItem>
</file>

<file path=customXml/itemProps2.xml><?xml version="1.0" encoding="utf-8"?>
<ds:datastoreItem xmlns:ds="http://schemas.openxmlformats.org/officeDocument/2006/customXml" ds:itemID="{8274017C-948E-44E5-AB16-72528D0E919E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CAB71A95-CACB-4E7A-8883-51CDA02BB03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830aaf3-3fc4-4e2f-b8b3-0d0921fed78c"/>
    <ds:schemaRef ds:uri="872bd2bc-0f70-41ee-9539-9d5ba8c1642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E80F4AFF-FF5E-4710-8023-A7491D70304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2</vt:i4>
      </vt:variant>
    </vt:vector>
  </HeadingPairs>
  <TitlesOfParts>
    <vt:vector size="2" baseType="lpstr">
      <vt:lpstr>pe-beregning</vt:lpstr>
      <vt:lpstr>Fra ROS-analysen</vt:lpstr>
    </vt:vector>
  </TitlesOfParts>
  <Company>Asplan Viak AS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Pumpestasjoner og pe</dc:title>
  <dc:creator>Marin Castberg</dc:creator>
  <cp:lastModifiedBy>Lena Solli Sal</cp:lastModifiedBy>
  <dcterms:created xsi:type="dcterms:W3CDTF">2019-10-10T10:59:29Z</dcterms:created>
  <dcterms:modified xsi:type="dcterms:W3CDTF">2021-10-07T14:05:57Z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0x01010048620AC0C887DB41816AEF283D198975</vt:lpwstr>
  </property>
  <property fmtid="{D5CDD505-2E9C-101B-9397-08002B2CF9AE}" pid="3" name="_dlc_DocIdItemGuid">
    <vt:lpwstr>f36b2636-402a-4deb-a7f8-5e16376f455c</vt:lpwstr>
  </property>
</Properties>
</file>