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O:\Teknisk\RoyAndre\VA\Hovedplan VA\Prosjektmappe\Politisk sak egengodkjenning\Plandokumenter\"/>
    </mc:Choice>
  </mc:AlternateContent>
  <xr:revisionPtr revIDLastSave="0" documentId="13_ncr:1_{DE5088AC-E1A9-4744-B9B6-D1B499FF9CA1}" xr6:coauthVersionLast="47" xr6:coauthVersionMax="47" xr10:uidLastSave="{00000000-0000-0000-0000-000000000000}"/>
  <bookViews>
    <workbookView xWindow="-108" yWindow="-108" windowWidth="23256" windowHeight="12576" tabRatio="542" activeTab="3" xr2:uid="{00000000-000D-0000-FFFF-FFFF00000000}"/>
  </bookViews>
  <sheets>
    <sheet name=" Handlingsplan VAO - Krøds.kom." sheetId="9" r:id="rId1"/>
    <sheet name=" Handlingsplan VAO - NVA" sheetId="16" r:id="rId2"/>
    <sheet name="Inv.tiltak avløp" sheetId="1" r:id="rId3"/>
    <sheet name="Inv.tiltak vann" sheetId="15" r:id="rId4"/>
    <sheet name="Inv.tiltak overvann" sheetId="7" r:id="rId5"/>
    <sheet name="Driftstiltak" sheetId="2" r:id="rId6"/>
    <sheet name="Plantiltak VAO" sheetId="3" r:id="rId7"/>
    <sheet name="Administrative tiltak " sheetId="5" r:id="rId8"/>
    <sheet name="Inv.tiltak vann_gml" sheetId="6" r:id="rId9"/>
  </sheets>
  <externalReferences>
    <externalReference r:id="rId10"/>
  </externalReferences>
  <definedNames>
    <definedName name="_GoBack" localSheetId="0">' Handlingsplan VAO - Krøds.kom.'!#REF!</definedName>
    <definedName name="_GoBack" localSheetId="1">' Handlingsplan VAO - NVA'!#REF!</definedName>
    <definedName name="_GoBack" localSheetId="2">'Inv.tiltak avløp'!#REF!</definedName>
    <definedName name="_GoBack" localSheetId="4">'Inv.tiltak overvann'!#REF!</definedName>
    <definedName name="_GoBack" localSheetId="3">'Inv.tiltak vann'!#REF!</definedName>
    <definedName name="_GoBack" localSheetId="8">'Inv.tiltak vann_gml'!$C$15</definedName>
    <definedName name="_xlnm.Print_Area" localSheetId="0">' Handlingsplan VAO - Krøds.kom.'!$B$1:$L$79</definedName>
    <definedName name="_xlnm.Print_Area" localSheetId="1">' Handlingsplan VAO - NVA'!$B$1:$M$32</definedName>
    <definedName name="_xlnm.Print_Area" localSheetId="5">Driftstiltak!$A$2:$C$38</definedName>
    <definedName name="_xlnm.Print_Area" localSheetId="2">'Inv.tiltak avløp'!$A$1:$K$16</definedName>
    <definedName name="_xlnm.Print_Area" localSheetId="4">'Inv.tiltak overvann'!$A$2:$G$9</definedName>
    <definedName name="_xlnm.Print_Area" localSheetId="3">'Inv.tiltak vann'!$A$4:$M$28</definedName>
    <definedName name="_xlnm.Print_Area" localSheetId="8">'Inv.tiltak vann_gml'!$A$4:$M$31</definedName>
    <definedName name="_xlnm.Print_Titles" localSheetId="0">' Handlingsplan VAO - Krøds.kom.'!$1:$2</definedName>
    <definedName name="_xlnm.Print_Titles" localSheetId="1">' Handlingsplan VAO - NVA'!$1:$2</definedName>
    <definedName name="_xlnm.Print_Titles" localSheetId="5">Driftstiltak!$2:$2</definedName>
    <definedName name="_xlnm.Print_Titles" localSheetId="2">'Inv.tiltak avløp'!$1:$6</definedName>
    <definedName name="_xlnm.Print_Titles" localSheetId="4">'Inv.tiltak overvann'!$2:$4</definedName>
    <definedName name="_xlnm.Print_Titles" localSheetId="3">'Inv.tiltak vann'!$4:$7</definedName>
    <definedName name="_xlnm.Print_Titles" localSheetId="8">'Inv.tiltak vann_gml'!$4:$7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6" l="1"/>
  <c r="I28" i="15"/>
  <c r="G16" i="1"/>
  <c r="J79" i="9"/>
  <c r="K62" i="9"/>
  <c r="J62" i="9"/>
  <c r="I59" i="9"/>
  <c r="K59" i="9" s="1"/>
  <c r="I30" i="16"/>
  <c r="J30" i="16" s="1"/>
  <c r="I28" i="16"/>
  <c r="J28" i="16"/>
  <c r="E29" i="16"/>
  <c r="I25" i="16"/>
  <c r="J25" i="16"/>
  <c r="E27" i="16"/>
  <c r="I22" i="16"/>
  <c r="J22" i="16"/>
  <c r="E24" i="16"/>
  <c r="I19" i="16"/>
  <c r="J19" i="16" s="1"/>
  <c r="E21" i="16" s="1"/>
  <c r="I17" i="16"/>
  <c r="J17" i="16" s="1"/>
  <c r="E18" i="16" s="1"/>
  <c r="I15" i="16"/>
  <c r="J15" i="16" s="1"/>
  <c r="E16" i="16" s="1"/>
  <c r="I13" i="16"/>
  <c r="J13" i="16"/>
  <c r="E14" i="16" s="1"/>
  <c r="I10" i="16"/>
  <c r="J10" i="16"/>
  <c r="I9" i="16"/>
  <c r="J9" i="16"/>
  <c r="J8" i="16"/>
  <c r="I7" i="16"/>
  <c r="J7" i="16"/>
  <c r="E12" i="16"/>
  <c r="I5" i="16"/>
  <c r="J5" i="16" s="1"/>
  <c r="I4" i="16"/>
  <c r="J4" i="16" s="1"/>
  <c r="P85" i="9"/>
  <c r="P81" i="9"/>
  <c r="I77" i="9"/>
  <c r="K77" i="9" s="1"/>
  <c r="I76" i="9"/>
  <c r="K76" i="9" s="1"/>
  <c r="J75" i="9"/>
  <c r="J74" i="9"/>
  <c r="I74" i="9"/>
  <c r="J73" i="9"/>
  <c r="J78" i="9" s="1"/>
  <c r="J72" i="9"/>
  <c r="I71" i="9"/>
  <c r="K71" i="9" s="1"/>
  <c r="I70" i="9"/>
  <c r="K70" i="9" s="1"/>
  <c r="K72" i="9" s="1"/>
  <c r="J69" i="9"/>
  <c r="I69" i="9"/>
  <c r="J68" i="9"/>
  <c r="I66" i="9"/>
  <c r="K66" i="9" s="1"/>
  <c r="I65" i="9"/>
  <c r="K65" i="9" s="1"/>
  <c r="J64" i="9"/>
  <c r="I64" i="9"/>
  <c r="J63" i="9"/>
  <c r="J67" i="9"/>
  <c r="L62" i="9"/>
  <c r="K61" i="9"/>
  <c r="I58" i="9"/>
  <c r="K58" i="9"/>
  <c r="I57" i="9"/>
  <c r="J56" i="9"/>
  <c r="J55" i="9"/>
  <c r="I55" i="9"/>
  <c r="J54" i="9"/>
  <c r="I52" i="9"/>
  <c r="K52" i="9" s="1"/>
  <c r="I51" i="9"/>
  <c r="K51" i="9" s="1"/>
  <c r="J50" i="9"/>
  <c r="I50" i="9"/>
  <c r="J49" i="9"/>
  <c r="J48" i="9"/>
  <c r="J47" i="9"/>
  <c r="J46" i="9"/>
  <c r="J53" i="9"/>
  <c r="I44" i="9"/>
  <c r="L44" i="9" s="1"/>
  <c r="L45" i="9" s="1"/>
  <c r="H43" i="9"/>
  <c r="I43" i="9" s="1"/>
  <c r="K43" i="9" s="1"/>
  <c r="I42" i="9"/>
  <c r="K42" i="9" s="1"/>
  <c r="I41" i="9"/>
  <c r="K41" i="9" s="1"/>
  <c r="I40" i="9"/>
  <c r="J39" i="9"/>
  <c r="I39" i="9"/>
  <c r="J38" i="9"/>
  <c r="J37" i="9"/>
  <c r="J45" i="9"/>
  <c r="I35" i="9"/>
  <c r="L35" i="9" s="1"/>
  <c r="L36" i="9" s="1"/>
  <c r="I34" i="9"/>
  <c r="L34" i="9"/>
  <c r="H33" i="9"/>
  <c r="I33" i="9" s="1"/>
  <c r="K33" i="9" s="1"/>
  <c r="I32" i="9"/>
  <c r="K32" i="9" s="1"/>
  <c r="I31" i="9"/>
  <c r="K31" i="9" s="1"/>
  <c r="K36" i="9" s="1"/>
  <c r="J30" i="9"/>
  <c r="J29" i="9"/>
  <c r="I29" i="9"/>
  <c r="J28" i="9"/>
  <c r="J27" i="9"/>
  <c r="J36" i="9" s="1"/>
  <c r="I25" i="9"/>
  <c r="L25" i="9"/>
  <c r="L26" i="9"/>
  <c r="H24" i="9"/>
  <c r="I24" i="9"/>
  <c r="K24" i="9"/>
  <c r="I23" i="9"/>
  <c r="K23" i="9" s="1"/>
  <c r="I22" i="9"/>
  <c r="K22" i="9" s="1"/>
  <c r="I21" i="9"/>
  <c r="K21" i="9" s="1"/>
  <c r="I20" i="9"/>
  <c r="J19" i="9"/>
  <c r="I19" i="9"/>
  <c r="J18" i="9"/>
  <c r="J17" i="9"/>
  <c r="J26" i="9" s="1"/>
  <c r="I15" i="9"/>
  <c r="K15" i="9" s="1"/>
  <c r="I14" i="9"/>
  <c r="K14" i="9" s="1"/>
  <c r="K16" i="9" s="1"/>
  <c r="J13" i="9"/>
  <c r="J12" i="9"/>
  <c r="J16" i="9" s="1"/>
  <c r="I12" i="9"/>
  <c r="L11" i="9"/>
  <c r="I10" i="9"/>
  <c r="K10" i="9" s="1"/>
  <c r="I9" i="9"/>
  <c r="K9" i="9" s="1"/>
  <c r="K11" i="9" s="1"/>
  <c r="I8" i="9"/>
  <c r="J7" i="9"/>
  <c r="J6" i="9"/>
  <c r="J5" i="9"/>
  <c r="I5" i="9"/>
  <c r="J4" i="9"/>
  <c r="I18" i="15"/>
  <c r="J18" i="15" s="1"/>
  <c r="G13" i="1"/>
  <c r="H15" i="1"/>
  <c r="H14" i="1"/>
  <c r="H12" i="1"/>
  <c r="I11" i="15"/>
  <c r="AD14" i="15" s="1"/>
  <c r="I13" i="15"/>
  <c r="AD15" i="15"/>
  <c r="AD16" i="15"/>
  <c r="I9" i="15"/>
  <c r="I32" i="15" s="1"/>
  <c r="S9" i="15"/>
  <c r="T9" i="15"/>
  <c r="U9" i="15"/>
  <c r="I10" i="15"/>
  <c r="AD13" i="15" s="1"/>
  <c r="AD17" i="15"/>
  <c r="S10" i="15"/>
  <c r="T10" i="15"/>
  <c r="U10" i="15"/>
  <c r="S11" i="15"/>
  <c r="T11" i="15"/>
  <c r="U11" i="15"/>
  <c r="I12" i="15"/>
  <c r="S12" i="15"/>
  <c r="T12" i="15"/>
  <c r="U12" i="15"/>
  <c r="S13" i="15"/>
  <c r="T13" i="15"/>
  <c r="U13" i="15"/>
  <c r="I15" i="15"/>
  <c r="AD10" i="15"/>
  <c r="S15" i="15"/>
  <c r="T15" i="15"/>
  <c r="U15" i="15"/>
  <c r="V15" i="15"/>
  <c r="I16" i="15"/>
  <c r="J16" i="15" s="1"/>
  <c r="S16" i="15"/>
  <c r="T16" i="15"/>
  <c r="U16" i="15"/>
  <c r="I17" i="15"/>
  <c r="AD12" i="15"/>
  <c r="I23" i="15"/>
  <c r="D28" i="15"/>
  <c r="D40" i="15"/>
  <c r="I40" i="15"/>
  <c r="V13" i="15"/>
  <c r="V12" i="15"/>
  <c r="V11" i="15"/>
  <c r="R12" i="1"/>
  <c r="Q12" i="1"/>
  <c r="P12" i="1"/>
  <c r="E5" i="5"/>
  <c r="E28" i="5"/>
  <c r="G9" i="1"/>
  <c r="H9" i="1"/>
  <c r="P8" i="1"/>
  <c r="Q8" i="1"/>
  <c r="R8" i="1"/>
  <c r="P9" i="1"/>
  <c r="Q9" i="1"/>
  <c r="R9" i="1"/>
  <c r="P10" i="1"/>
  <c r="Q10" i="1"/>
  <c r="R10" i="1"/>
  <c r="P11" i="1"/>
  <c r="Q11" i="1"/>
  <c r="R11" i="1"/>
  <c r="R7" i="1"/>
  <c r="Q7" i="1"/>
  <c r="P7" i="1"/>
  <c r="G7" i="1"/>
  <c r="E23" i="2"/>
  <c r="I20" i="6"/>
  <c r="J20" i="6" s="1"/>
  <c r="I19" i="6"/>
  <c r="S11" i="6"/>
  <c r="T11" i="6"/>
  <c r="U11" i="6"/>
  <c r="S12" i="6"/>
  <c r="T12" i="6"/>
  <c r="U12" i="6"/>
  <c r="S13" i="6"/>
  <c r="T13" i="6"/>
  <c r="U13" i="6"/>
  <c r="S14" i="6"/>
  <c r="T14" i="6"/>
  <c r="U14" i="6"/>
  <c r="S15" i="6"/>
  <c r="T15" i="6"/>
  <c r="U15" i="6"/>
  <c r="S16" i="6"/>
  <c r="T16" i="6"/>
  <c r="U16" i="6"/>
  <c r="V16" i="6"/>
  <c r="S17" i="6"/>
  <c r="T17" i="6"/>
  <c r="U17" i="6"/>
  <c r="V17" i="6"/>
  <c r="S18" i="6"/>
  <c r="T18" i="6"/>
  <c r="U18" i="6"/>
  <c r="I18" i="6"/>
  <c r="J18" i="6"/>
  <c r="S10" i="6"/>
  <c r="T10" i="6"/>
  <c r="U10" i="6"/>
  <c r="U9" i="6"/>
  <c r="T9" i="6"/>
  <c r="S9" i="6"/>
  <c r="I10" i="6"/>
  <c r="I31" i="6" s="1"/>
  <c r="I11" i="6"/>
  <c r="I34" i="6" s="1"/>
  <c r="I12" i="6"/>
  <c r="I9" i="6"/>
  <c r="I35" i="6" s="1"/>
  <c r="D20" i="3"/>
  <c r="G8" i="1"/>
  <c r="J8" i="1" s="1"/>
  <c r="M8" i="1" s="1"/>
  <c r="S8" i="1" s="1"/>
  <c r="G11" i="1"/>
  <c r="J11" i="1" s="1"/>
  <c r="M11" i="1" s="1"/>
  <c r="S11" i="1" s="1"/>
  <c r="G10" i="1"/>
  <c r="J10" i="1" s="1"/>
  <c r="M10" i="1" s="1"/>
  <c r="S10" i="1" s="1"/>
  <c r="T10" i="1" s="1"/>
  <c r="H10" i="1"/>
  <c r="F8" i="7"/>
  <c r="F7" i="7"/>
  <c r="F6" i="7"/>
  <c r="F5" i="7"/>
  <c r="F9" i="7" s="1"/>
  <c r="D29" i="5"/>
  <c r="D43" i="6"/>
  <c r="I43" i="6"/>
  <c r="D30" i="2"/>
  <c r="D9" i="7"/>
  <c r="D31" i="6"/>
  <c r="D16" i="1"/>
  <c r="I16" i="1"/>
  <c r="I23" i="1"/>
  <c r="H18" i="1"/>
  <c r="H19" i="1"/>
  <c r="J9" i="1" s="1"/>
  <c r="M9" i="1" s="1"/>
  <c r="S9" i="1" s="1"/>
  <c r="J12" i="1"/>
  <c r="M12" i="1"/>
  <c r="S12" i="1"/>
  <c r="J7" i="1"/>
  <c r="M7" i="1"/>
  <c r="S7" i="1"/>
  <c r="I31" i="15" l="1"/>
  <c r="J11" i="9"/>
  <c r="K53" i="9"/>
  <c r="K45" i="9"/>
  <c r="K26" i="9"/>
  <c r="T8" i="1"/>
  <c r="T11" i="1"/>
  <c r="T7" i="1"/>
  <c r="L79" i="9"/>
  <c r="L81" i="9" s="1"/>
  <c r="E6" i="16"/>
  <c r="J35" i="16"/>
  <c r="K18" i="6"/>
  <c r="P18" i="6" s="1"/>
  <c r="V18" i="6" s="1"/>
  <c r="T9" i="1"/>
  <c r="K14" i="6"/>
  <c r="P14" i="6" s="1"/>
  <c r="V14" i="6" s="1"/>
  <c r="W14" i="6" s="1"/>
  <c r="K30" i="6"/>
  <c r="K13" i="6"/>
  <c r="P13" i="6" s="1"/>
  <c r="V13" i="6" s="1"/>
  <c r="W13" i="6" s="1"/>
  <c r="K15" i="6"/>
  <c r="P15" i="6" s="1"/>
  <c r="V15" i="6" s="1"/>
  <c r="K20" i="6"/>
  <c r="P20" i="6" s="1"/>
  <c r="V20" i="6" s="1"/>
  <c r="K9" i="6"/>
  <c r="P9" i="6" s="1"/>
  <c r="V9" i="6" s="1"/>
  <c r="K16" i="6"/>
  <c r="K17" i="6"/>
  <c r="K19" i="6"/>
  <c r="P19" i="6" s="1"/>
  <c r="V19" i="6" s="1"/>
  <c r="K10" i="6"/>
  <c r="P10" i="6" s="1"/>
  <c r="V10" i="6" s="1"/>
  <c r="K12" i="6"/>
  <c r="P12" i="6" s="1"/>
  <c r="V12" i="6" s="1"/>
  <c r="T12" i="1"/>
  <c r="K67" i="9"/>
  <c r="K78" i="9"/>
  <c r="K79" i="9" s="1"/>
  <c r="K81" i="9" s="1"/>
  <c r="K86" i="9" s="1"/>
  <c r="J34" i="16"/>
  <c r="E31" i="16"/>
  <c r="AD11" i="15"/>
  <c r="K11" i="6"/>
  <c r="P11" i="6" s="1"/>
  <c r="V11" i="6" s="1"/>
  <c r="K11" i="15"/>
  <c r="AD9" i="15"/>
  <c r="H8" i="1"/>
  <c r="H7" i="1"/>
  <c r="K12" i="15" l="1"/>
  <c r="K10" i="15"/>
  <c r="P10" i="15" s="1"/>
  <c r="V10" i="15" s="1"/>
  <c r="W19" i="6"/>
  <c r="K13" i="15"/>
  <c r="K14" i="15"/>
  <c r="W18" i="6"/>
  <c r="K18" i="15"/>
  <c r="P18" i="15" s="1"/>
  <c r="V18" i="15" s="1"/>
  <c r="K17" i="15"/>
  <c r="P17" i="15" s="1"/>
  <c r="V17" i="15" s="1"/>
  <c r="W10" i="6"/>
  <c r="K9" i="15"/>
  <c r="P9" i="15" s="1"/>
  <c r="V9" i="15" s="1"/>
  <c r="K15" i="15"/>
  <c r="W11" i="6"/>
  <c r="K16" i="15"/>
  <c r="P16" i="15" s="1"/>
  <c r="V16" i="15" s="1"/>
  <c r="W16" i="15" s="1"/>
  <c r="W12" i="6"/>
  <c r="J80" i="9"/>
  <c r="F89" i="9" s="1"/>
  <c r="J81" i="9"/>
  <c r="W9" i="6"/>
  <c r="W17" i="6"/>
  <c r="W16" i="6"/>
  <c r="W21" i="6"/>
  <c r="W29" i="6"/>
  <c r="W30" i="6"/>
  <c r="W20" i="6"/>
  <c r="W15" i="6"/>
  <c r="W26" i="15" l="1"/>
  <c r="W27" i="15"/>
  <c r="W17" i="15"/>
  <c r="W9" i="15"/>
  <c r="W19" i="15"/>
  <c r="W15" i="15"/>
  <c r="W22" i="15"/>
  <c r="W14" i="15"/>
  <c r="W23" i="15"/>
  <c r="W25" i="15"/>
  <c r="W24" i="15"/>
  <c r="W20" i="15"/>
  <c r="W21" i="15"/>
  <c r="W11" i="15"/>
  <c r="W13" i="15"/>
  <c r="W12" i="15"/>
  <c r="W10" i="15"/>
  <c r="W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tc={756F3AE6-46E7-4B90-81D7-5592DDC4A37D}</author>
  </authors>
  <commentList>
    <comment ref="D6" authorId="0" shapeId="0" xr:uid="{756F3AE6-46E7-4B90-81D7-5592DDC4A37D}">
      <text>
        <t>[Kommentartråd]
Din versjon av Excel lar deg lese denne kommentartråden. Eventuelle endringer i den vil imidlertid bli fjernet hvis filen åpnes i en nyere versjon av Excel. Finn ut mer: https://go.microsoft.com/fwlink/?linkid=870924
Kommentar:
    Mer kritisk enn HB12. Taket er dårlig.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tc={6B3A0FE6-03D0-42CD-BDB3-607EAE5762ED}</author>
    <author>tc={794D2F3A-8E8B-4A60-B926-6FB31F459390}</author>
  </authors>
  <commentList>
    <comment ref="F6" authorId="0" shapeId="0" xr:uid="{6B3A0FE6-03D0-42CD-BDB3-607EAE5762ED}">
      <text>
        <t>[Kommentartråd]
Din versjon av Excel lar deg lese denne kommentartråden. Eventuelle endringer i den vil imidlertid bli fjernet hvis filen åpnes i en nyere versjon av Excel. Finn ut mer: https://go.microsoft.com/fwlink/?linkid=870924
Kommentar:
    Eventuelt gjennomsnittspris</t>
      </text>
    </comment>
    <comment ref="T6" authorId="1" shapeId="0" xr:uid="{794D2F3A-8E8B-4A60-B926-6FB31F459390}">
      <text>
        <t>[Kommentartråd]
Din versjon av Excel lar deg lese denne kommentartråden. Eventuelle endringer i den vil imidlertid bli fjernet hvis filen åpnes i en nyere versjon av Excel. Finn ut mer: https://go.microsoft.com/fwlink/?linkid=870924
Kommentar:
    Se på prioriteringen opp mot diagnose for målene.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tc={580EECAA-7ABC-4960-9CB0-888050405821}</author>
  </authors>
  <commentList>
    <comment ref="C19" authorId="0" shapeId="0" xr:uid="{580EECAA-7ABC-4960-9CB0-888050405821}">
      <text>
        <t>[Kommentartråd]
Din versjon av Excel lar deg lese denne kommentartråden. Eventuelle endringer i den vil imidlertid bli fjernet hvis filen åpnes i en nyere versjon av Excel. Finn ut mer: https://go.microsoft.com/fwlink/?linkid=870924
Kommentar:
    Mer kritisk enn HB12. Taket er dårlig.</t>
      </text>
    </comment>
  </commentList>
</comments>
</file>

<file path=xl/sharedStrings.xml><?xml version="1.0" encoding="utf-8"?>
<sst xmlns="http://schemas.openxmlformats.org/spreadsheetml/2006/main" count="937" uniqueCount="502">
  <si>
    <t>ID</t>
  </si>
  <si>
    <t>Tiltaksnavn</t>
  </si>
  <si>
    <t>KRY-faktor</t>
  </si>
  <si>
    <t>Prioritering</t>
  </si>
  <si>
    <t>Handlingsplan investeringstiltak vann, avløp og  overvann 2023 - 2032</t>
  </si>
  <si>
    <t>Vekting</t>
  </si>
  <si>
    <t>Kostnad</t>
  </si>
  <si>
    <t>År</t>
  </si>
  <si>
    <t>Bakgrunn</t>
  </si>
  <si>
    <t>Omfang (m)</t>
  </si>
  <si>
    <t>Omfang (antall)</t>
  </si>
  <si>
    <t>Kostnad ledningsnett
(kr)</t>
  </si>
  <si>
    <t>Enhetspris (kr)</t>
  </si>
  <si>
    <t>Total kostnad inkl. evt. øvrige elementer (mill. kr)</t>
  </si>
  <si>
    <t>Årlig kostnad VANN (mill.kr)</t>
  </si>
  <si>
    <t>Årlig kostnad AVLØP (mill.kr)</t>
  </si>
  <si>
    <t>Årlig kostnad OVERVANN (mill.kr)</t>
  </si>
  <si>
    <t>Modellering</t>
  </si>
  <si>
    <t>Begrunnelse</t>
  </si>
  <si>
    <t>Effekt overløpsmengde (m3/år)</t>
  </si>
  <si>
    <t>Effekt fremmedvanns-mengde (m3/år)</t>
  </si>
  <si>
    <t>Normalisering fremmedvannsmengde</t>
  </si>
  <si>
    <t>Risikoreduksjon</t>
  </si>
  <si>
    <t>Effekt - kommentarer</t>
  </si>
  <si>
    <t>Kostnad-Risiko-Ytelse (KRY)</t>
  </si>
  <si>
    <t>Poeng for kostnad</t>
  </si>
  <si>
    <t>Poeng for risiko-reduksjon</t>
  </si>
  <si>
    <t>Poeng for ytelse</t>
  </si>
  <si>
    <t>Kost-nader</t>
  </si>
  <si>
    <t>Risiko-reduksjon</t>
  </si>
  <si>
    <t>Ytelse</t>
  </si>
  <si>
    <t>1V</t>
  </si>
  <si>
    <t>Trykkøkning Gran- og Fagernesfeltet</t>
  </si>
  <si>
    <t>Område med lavere statisk trykk enn 25 mVS.
Anbefalt tiltak å etablere trykkreduksjonskum og ledningsanlegg for å koble Gran og Fagernesfeltet til egen trykksone på ca kt 215 (+15 mVS).</t>
  </si>
  <si>
    <t>10V</t>
  </si>
  <si>
    <t>Sanere felleskummer vann og avløp</t>
  </si>
  <si>
    <t>Kommunen har som mål å sanere 4 felleskummer vann/spillvann pr år  i planperioden (fra 54 til 15 kummer, gir en reduksjon på 70 %). 3 VS-kummer saneres årlig på KK sitt budsjett, og 1 på NVAs. VS kum ved Shell, sid 924, må prioriteres høyt pga oljesøl.</t>
  </si>
  <si>
    <t>11V</t>
  </si>
  <si>
    <t xml:space="preserve">Opprusting HB31 Slettemoen </t>
  </si>
  <si>
    <t>Opprusting av bygningsmessig og utvidelse  med 200 m3 i eget kammer. Kalkyle 6.2 mill kr i 2020 økt til 8 mill kr (prisjustering)</t>
  </si>
  <si>
    <t>13V</t>
  </si>
  <si>
    <t>UV-anlegg Sunnelykkja VBA</t>
  </si>
  <si>
    <t>Nytt UV aggregat iht. MBA.</t>
  </si>
  <si>
    <t>1A</t>
  </si>
  <si>
    <t xml:space="preserve">Renovere avløps-pumpestasjoner </t>
  </si>
  <si>
    <t xml:space="preserve">Flere pumpestasjoner er i dårlig stand. Spesielt dårlig tilstand har stasjonene PA33 Juvbekkveien, PA34 Mehlum, PA37 Stryken og PA36 Glesnetangen. PA36 Glesnetangen stasjon er også vanskelig å komme til i og vanskelig og drifte. Av disse er PA33 og PA34 de dårligste og skal prioroteres høyest.
Gjennomføring: én stasjon annethvert år i planoperioden.  (Betyr hhv. 0 og 2 mill. hver år, 2 mill. i 2023,2025,2027,2029) </t>
  </si>
  <si>
    <t>2A</t>
  </si>
  <si>
    <t>Sanering av avløpsnett</t>
  </si>
  <si>
    <t>300 m av de avløpsledningene med tilstandskarakter 4 eller dårligere saneres hvert år (4 000 kr/lm, ved evt. fordelig av kostnader mellom vann og avløp settes fordelingsnøkkelen til 30 % for vann og 70 % for avløp. Dette er ikke gjort ved disse beregningene da det ikke er avdekket hvilke konkrete ledninger dette gjelder, og om det da er VL i samme grøft som disse). 
Ledninger i nærheten av resipienter prioriteres høyt. 
Det er svært viktig at dårlige kummer saneres samtidig (kummer er inkludert i gjennomsnittsprisen).
Gjennomføres årlig,  300m pr. år i 10 år.</t>
  </si>
  <si>
    <t>3A</t>
  </si>
  <si>
    <t xml:space="preserve">Sanering av dårlige kummer </t>
  </si>
  <si>
    <t>De kummene som avdekkes å ha saneringsbehov etter gjennomføring av tiltak 5dA, saneres/rehabiliteres/utbedres. 
Antar gjennomføringskapasitet på 5 kummer pr. år i 10 år.</t>
  </si>
  <si>
    <t>Sum Krødsherad kommune 2023</t>
  </si>
  <si>
    <t xml:space="preserve">Kommunen har som mål å sanere 4 felleskummer vann/spillvann pr år  i planperioden (fra 54 til 15 kummer, gir en reduksjon på 70 %). 3 VS-kummer saneres årlig på KK sitt budsjett, og 1 på NVAs. </t>
  </si>
  <si>
    <t>14V</t>
  </si>
  <si>
    <t>UV-anlegg Slettemoen VBA</t>
  </si>
  <si>
    <t>Nytt UV aggregat iht MBA.</t>
  </si>
  <si>
    <t>Sum Krødsherad kommune 2024</t>
  </si>
  <si>
    <t>4V</t>
  </si>
  <si>
    <t>Trykkreduksjonsventil Klokkarplassen</t>
  </si>
  <si>
    <t>Tiltak for å kunne slippe vann ned fra Hanserud HB til nedre trykksone som første steg i ufasing av Klokkarplassen HB. RV plasseres i omløp Klokkarplassen trykkøkningsstasjon. Inkluderer elektrisk ventil og styring.</t>
  </si>
  <si>
    <t>5V</t>
  </si>
  <si>
    <t>Ny tilførsel Hanserud HB og ringledning til Olberg/Bjertnes</t>
  </si>
  <si>
    <t xml:space="preserve">Omlegging av bassengløsning  </t>
  </si>
  <si>
    <t>5A</t>
  </si>
  <si>
    <t>Forlenge overløps-ledninger</t>
  </si>
  <si>
    <t xml:space="preserve">Det er en målsetting at overløpsutslipp fra kommunalt ledningsnett ikke skal skape estetisk påvirkning i/ved utslippsstedet. For å sikre dette anbefales at nødoverløpsledningene fra Kroa (PA24 Slevika), Sole (PA26 Sole) og PA35 Glesnemoen forlenges.
Antar at alle tre tas i ett prosjekt ila. ett år (2025). </t>
  </si>
  <si>
    <t>6A</t>
  </si>
  <si>
    <t>Nytt VA-anlegg i Krøderen (hvis prosjektet vedtas)</t>
  </si>
  <si>
    <t>Ny avløpsledning på vestsiden av Krøderen i henhold til notat sjøledninger, Transportsystem Krøderen - RA Noresund, Per Helge Tomren, 25.02.2021 (antatt at det blir sjøledning og ikke ledning i grøft pga kostnader). Fysiske tiltak i vann og vassdrag må vurderes etter forskrift om fysiske tiltak i vassdrag og kan være søknadspliktige. Antatt utført i løpet av tre år.</t>
  </si>
  <si>
    <t>1O</t>
  </si>
  <si>
    <t>Flomvei Glesnemoen</t>
  </si>
  <si>
    <t>Boligfeltet på Glesnemoen er tilsynelatende utsatt for overvann fra skogområdene i syd. I tillegg har overvannsnettet i boligfeltet ikke kapasitet til å håndtere større nedbørshendelser ifølge gjennomførte analyser. Det bør tilrettelegges for etablering av en ny åpen flomvei langsmed Finnerudveien øst for boligfeltet som avskjærer overvannet og fører det trygt ned til fjorden.</t>
  </si>
  <si>
    <t xml:space="preserve">Sum Krødsherad kommune 2025: </t>
  </si>
  <si>
    <t>7V</t>
  </si>
  <si>
    <t>Sanering VL Søndre Bjøre</t>
  </si>
  <si>
    <t>PEL ledning fra 1970, fra Søndre Bjøre og sørover frem til Nordre Bjerkerud (overgangen til PVC fra -98, sid 1672, 2338, 1658 osv.) prioriteres for sanering i år 1. Evt. bør sanering av dette ledningsstrekket samordnes med avkloakkering av vestsiden av Krøderen, hvis dette blir vedtatt gjennomført.</t>
  </si>
  <si>
    <t>Skal denne fordeles likt på tre år?</t>
  </si>
  <si>
    <t>9V</t>
  </si>
  <si>
    <t>Sanering støpejernsledninger</t>
  </si>
  <si>
    <t>Støpejernsledninger i Krøderen er i dårlig stand (gir rust i vannet) og prioriteres høyt for sanering. Dette gjelder to strekk med støpejern (fra 1960 og 1970)</t>
  </si>
  <si>
    <t>15V</t>
  </si>
  <si>
    <t xml:space="preserve">Tiltak flomsikring tavler i brønntopper for Sunnelykkja og Slettemoen </t>
  </si>
  <si>
    <t>Heve tavler, sjekke tetting i brønntopp mv. (utgår)</t>
  </si>
  <si>
    <t>Ny avløpsledning på vestsiden av Krøderen i henhold til notat sjøledninger, Transportsystem Krøderen - RA Noresund, Per Helge Tomren, 25.02.2021 (antatt at det blir sjøledning og ikke ledning i grøft pga kostnader). Antatt utført i løpet av tre år.</t>
  </si>
  <si>
    <t>2O</t>
  </si>
  <si>
    <t>Flomvei Klokkerplassen</t>
  </si>
  <si>
    <t>Boligområdene ved gaten Klokkerplassen i den sørlige delen av Noresund ser ut til å være utsatt for overvann fra skogområdene i nord-øst. Ettersom området er et kjent problemområde ifølge kommunen bør det etableres en ny flomvei som avskjærer overvannet på utsiden av boligområdet og fører det videre ned til bekkeløpet lenger sør.</t>
  </si>
  <si>
    <t>4O</t>
  </si>
  <si>
    <t>Flomvei Granlifeltet</t>
  </si>
  <si>
    <t>Ved større nedbørshendelser vil det tilsynelatende samle seg overvann ved Granlifeltet i Noresund sentrum. I tillegg har overvannsnettet i området ikke kapasitet til å håndtere slike nedbørshendelser ifølge gjennomførte analyser.</t>
  </si>
  <si>
    <t>Totalt Krødsherad kommune 2026:</t>
  </si>
  <si>
    <t>2V</t>
  </si>
  <si>
    <t>Trykkøkning og ringledning Lesteberg</t>
  </si>
  <si>
    <t>Område med lavere statisk trykk enn 25 mVS.
Anbefalt tiltak å etablere trykkøkningsstastasjon og ring ledningsanlegg for å koble Gran og Fagernesfeltet til egen trykksone på ca kt 215 (+15 mVS).</t>
  </si>
  <si>
    <t xml:space="preserve">
De kummene som avdekkes å ha saneringsbehov etter gjennomføring av tiltak 5dA, saneres/rehabiliteres/utbedres. 
Antar gjennomføringskapasitet på 5 kummer pr. år i 10 år.</t>
  </si>
  <si>
    <t>3O</t>
  </si>
  <si>
    <t>Flomvei Bjertnes</t>
  </si>
  <si>
    <t>De bebygde områdene på Bjertnes er utsatt for overvann fra skogsområdene i nord. Behovet for flomvei bør vurderes da dette er et kjent problemområde.</t>
  </si>
  <si>
    <t>Totalt Krødsherad kommune 2027:</t>
  </si>
  <si>
    <t>3V</t>
  </si>
  <si>
    <t>Økt kapasitet sammenkobling Krøderen-Noresund.</t>
  </si>
  <si>
    <t>Kapasitetsøkning vann Vestsiden (uten avkloakering Vestsiden).
Ca 5 km overføringsledning Bjørnstad-Bjerkerud.</t>
  </si>
  <si>
    <t>6V</t>
  </si>
  <si>
    <t>Inertgassanlegg  Slettemoen og Sunnelykkja VBA</t>
  </si>
  <si>
    <t>Etablere inertgassanlegg mot brann ved Sunnelykkja og Slettemoen VBA</t>
  </si>
  <si>
    <t>8V</t>
  </si>
  <si>
    <t>Sanering PE ledninger på land</t>
  </si>
  <si>
    <t xml:space="preserve">En andel av PE-ledningene («Highland-ledninger»: kan være registrert som PE, PEH, PE50, PEL osv.) fra -70-tallet skiftes ut på sikt. Det settes opp en fast andel ledningsnett årlig, på 500 m hvert år.  Oppstart etter Bjøreledning og støpernsledninger er gjennomført og deretter ut planperioden. </t>
  </si>
  <si>
    <t>Totalt Krødsherad kommune 2028:</t>
  </si>
  <si>
    <t>17V</t>
  </si>
  <si>
    <t>Ny Bjerknes trykkøkningsstasjon</t>
  </si>
  <si>
    <t>Ny trykkøkningsstasjon med overbygg.</t>
  </si>
  <si>
    <t xml:space="preserve">Totalt Krødsherad kommune 2029: </t>
  </si>
  <si>
    <t>Totalt Krødsherad kommune 2030:</t>
  </si>
  <si>
    <t xml:space="preserve">Totalt Krødsherad kommune 2031: </t>
  </si>
  <si>
    <t>16V</t>
  </si>
  <si>
    <t>Forsyning Hovdekollen</t>
  </si>
  <si>
    <t>Tiltak på vannledningsnettet for å overføre vann fra Olberg til Bjerkerud og tilkoblingspunkt mot forysning til Hovdekollen.  Kalkyle fra notat avkloakkering Vestsiden.</t>
  </si>
  <si>
    <t>Totalt Krødsherad kommune 2032:</t>
  </si>
  <si>
    <t xml:space="preserve">Totalt 2023-2032: </t>
  </si>
  <si>
    <t xml:space="preserve">Totalt Krødsherad kommune 2023-2032: </t>
  </si>
  <si>
    <t>Kontroll</t>
  </si>
  <si>
    <t>maks</t>
  </si>
  <si>
    <t>totalt vann, avløp overvann</t>
  </si>
  <si>
    <t>Sum budsjettkostnader handlingsplan:</t>
  </si>
  <si>
    <t>Kostnader pr år:</t>
  </si>
  <si>
    <t>Sum nytte fremmedvann (ekskl. I3A):</t>
  </si>
  <si>
    <t xml:space="preserve">Mangler: </t>
  </si>
  <si>
    <t xml:space="preserve">Totalt KK og NVA: </t>
  </si>
  <si>
    <t>Kostnad lednings-nett
(kr)</t>
  </si>
  <si>
    <t>Årlig kostnad (mill.kr)</t>
  </si>
  <si>
    <t>4A</t>
  </si>
  <si>
    <t>Utbedring av utette kummer</t>
  </si>
  <si>
    <t xml:space="preserve">Utbedring av utette kummer som avdekkes som følge av tiltak 6dA. 
Antar gjennomføringskapasitet på 5 kummer pr. år i 2 år. </t>
  </si>
  <si>
    <t>Totalt NVA 2023:</t>
  </si>
  <si>
    <t>Opprusting HB12 Sandumseter</t>
  </si>
  <si>
    <r>
      <t>Lagt inn kostnad for nytt basseng, men forprosjekt bør gjennomføres for å vurdere om basseng kan saneres. Volum beregnes nå til ca 600 m</t>
    </r>
    <r>
      <rPr>
        <vertAlign val="superscript"/>
        <sz val="12"/>
        <rFont val="Calibri"/>
        <family val="2"/>
        <scheme val="minor"/>
      </rPr>
      <t>3</t>
    </r>
    <r>
      <rPr>
        <sz val="12"/>
        <rFont val="Calibri"/>
        <family val="2"/>
        <scheme val="minor"/>
      </rPr>
      <t>.</t>
    </r>
  </si>
  <si>
    <t>7A1</t>
  </si>
  <si>
    <t>Økt kapasitet etter tilknytning hyttefelt Sigdal</t>
  </si>
  <si>
    <t>Nye pumper på PA13 Leineseter for å ta unna for ølt kapasitetsbehov.</t>
  </si>
  <si>
    <t>7A3</t>
  </si>
  <si>
    <t xml:space="preserve">Ny ledningstrase (2 km) som erstatning for dagens pumpeledning. </t>
  </si>
  <si>
    <t>Totalt NVA 2024:</t>
  </si>
  <si>
    <t>Totalt NVA 2025:</t>
  </si>
  <si>
    <t>Totalt NVA 2026:</t>
  </si>
  <si>
    <t>Totalt NVA 2027:</t>
  </si>
  <si>
    <t>7A2</t>
  </si>
  <si>
    <t xml:space="preserve">Oppgradering av PA20  Sommero pumpestasjon. </t>
  </si>
  <si>
    <t>Totalt NVA 2028:</t>
  </si>
  <si>
    <t>Totalt NVA 2029:</t>
  </si>
  <si>
    <t>Totalt NVA 2030:</t>
  </si>
  <si>
    <t>Totalt NVA 2031:</t>
  </si>
  <si>
    <t>Totalt NVA 2032:</t>
  </si>
  <si>
    <t xml:space="preserve">Totalt NVA 2023-2032: </t>
  </si>
  <si>
    <t xml:space="preserve">Sum vann </t>
  </si>
  <si>
    <t>Sum avløp</t>
  </si>
  <si>
    <t>Investeringstiltak avløp 2023 - 2032</t>
  </si>
  <si>
    <t>Vekting:</t>
  </si>
  <si>
    <t>Risiko</t>
  </si>
  <si>
    <t>Navn</t>
  </si>
  <si>
    <t>Total-kostnad 
(mill. kr)</t>
  </si>
  <si>
    <t>Årlig kostnad</t>
  </si>
  <si>
    <t>Total kostnad inkl. evt. øvrige elementer</t>
  </si>
  <si>
    <t>Normali-sering kostnad</t>
  </si>
  <si>
    <t>Risiko-reduk-sjon</t>
  </si>
  <si>
    <t>Priori-tering</t>
  </si>
  <si>
    <t>Gjennomføringsår</t>
  </si>
  <si>
    <t xml:space="preserve">Renovere avløpspumpe-stasjoner </t>
  </si>
  <si>
    <t xml:space="preserve">Krødsherad kommune:
Flere pumpestasjoner er i dårlig stand. Spesielt dårlig tilstand har stasjonene PA33 Juvbekkveien, PA34 Mehlum, PA37 Stryken og PA36 Glesnetangen. PA36 Glesnetangen stasjon er også vanskelig å komme til i og vanskelig og drifte. Av disse er PA33 og PA34 de dårligste og skal prioroteres høyest.
Gjennomføring: én stasjon annethvert år i planoperioden.  (Betyr hhv. 0 og 2 mill. hver år, 2 mill. i 2023,2025,2027,2029) </t>
  </si>
  <si>
    <t>-</t>
  </si>
  <si>
    <t>Har fått lav prioritet, men dette er kun pga at tiltaket er dyrt. Viktig pga rød diagnose utslipp fra nødoverløp. Én stasjon annethvert år, oppstart 2023</t>
  </si>
  <si>
    <t>RANG.EKV(Y5;(Y$5:Y$10);0)</t>
  </si>
  <si>
    <t>Krødsherad kommune: 
300 m av avløpsledningene med tilstandskarakter 4 eller dårligere, saneres hvert år (4 000 kr/lm, ved evt. fordelig av kostnader mellom vann og avløp settes fordelingsnøkkelen til 30 % for vann og 70 % for avløp. Dette er ikke gjort ved beregningene av dette tiltaket, da det ikke er avdekket hvilke konkrete ledninger dette gjelder, og om det da er VL i samme grøft som disse). 
Ledninger i nærheten av resipienter prioriteres høyt. 
Det er svært viktig at dårlige kummer saneres samtidig (kummer er inkludert i gjennomsnittsprisen).
Gjennomføres årlig,  300 m pr. år i 10 år.</t>
  </si>
  <si>
    <t>Oppstart 2023 (Har fått lav prioritet, men dette er kun pga at tiltaket er dyrt). Viktig pga rød diagnose virkningsgrad.</t>
  </si>
  <si>
    <t>Krødsherad kommune:
De kummene som avdekkes å ha saneringsbehov etter gjennomføring av tiltak 5dA, saneres/rehabiliteres/utbedres. 
Antar gjennomføringskapasitet på 5 kummer pr. år i 10 år.</t>
  </si>
  <si>
    <t>Oppstart 2023 (tiltaket vil medføre bedre oppfyllelse av utslipps-tillatelsen). Viktig pga rød diagnose virkningsgrad.</t>
  </si>
  <si>
    <t xml:space="preserve">NVA: 
Utbedring av utette kummer som avdekkes som følge av tiltak 6dA. 
Antar gjennomføringskapasitet på 5 kummer pr. år i 2 år. </t>
  </si>
  <si>
    <t xml:space="preserve">Krødsherad kommune: 
Det er en målsetting at overløpsutslipp fra kommunalt ledningsnett ikke skal skape estetisk påvirkning i/ved utslippsstedet. For å sikre dette anbefales at nødoverløpsledningene fra Kroa (PA24 Slevika), Sole (PA26 Sole) og PA35 Glesnemoen forlenges.
Antar at alle tre tas i ett prosjekt ila. ett år. </t>
  </si>
  <si>
    <t>Krødsherad kommune:
Ny avløpsledning på vestsiden av Krøderen i henhold til notat sjøledninger, Transportsystem Krøderen - RA Noresund, Per Helge Tomren, 25.02.2021 (antatt at det blir sjøledning og ikke ledning i grøft pga kostnader). Fysiske tiltak i vann og vassdrag må vurderes etter forskrift om fysiske tiltak i vassdrag og kan være søknadspliktige. Antatt utført i løpet av tre år.</t>
  </si>
  <si>
    <t>Prosjekt ikke vedtatt ennå. Mulig oppstart 2025. Viktig pga rød diagnose tilknytningsgrad.</t>
  </si>
  <si>
    <t>NVA: 
Nye pumper på PA13 Leineseter for å ta unna for økt kapasitetsbehov.</t>
  </si>
  <si>
    <t>Estimert 2024</t>
  </si>
  <si>
    <t xml:space="preserve">NVA:
Det gjennomføres tiltak på PA20 Sommero for å øke kapasiteten i forbindelse med økt tilknytning fra Sigdal. </t>
  </si>
  <si>
    <t>Estimert 2028-2030</t>
  </si>
  <si>
    <t xml:space="preserve">NVA:
Ny ledningstrase (2 km) som erstatning for dagens pumpeledning. </t>
  </si>
  <si>
    <t>SUM</t>
  </si>
  <si>
    <t>min</t>
  </si>
  <si>
    <t xml:space="preserve">Brukt lineær vektingsformel for poenggivning for Kostnad (K) og Ytelse (Y), mens poeng for Risikoreduksjon (R) er gitt ut fra subjektive vurderinger. </t>
  </si>
  <si>
    <t>Vedlegg  9</t>
  </si>
  <si>
    <t>Investeringstiltak vann 2023 - 2032</t>
  </si>
  <si>
    <t>Kun vann-ledning</t>
  </si>
  <si>
    <t>Antall stasjon-er</t>
  </si>
  <si>
    <t>Enhetspris stasjon (mill kr)</t>
  </si>
  <si>
    <t>Kostnad (mill kr)</t>
  </si>
  <si>
    <t>Årlig kostnad (mill kr)</t>
  </si>
  <si>
    <t>Normalisering kostnad</t>
  </si>
  <si>
    <t>Kommentar</t>
  </si>
  <si>
    <t>Effekt lekkasjemengde (m3/år)</t>
  </si>
  <si>
    <t>Prioritering beregnet</t>
  </si>
  <si>
    <t>Gjennomføres</t>
  </si>
  <si>
    <t>3 ledninger i grøft</t>
  </si>
  <si>
    <t>Kostn-ader</t>
  </si>
  <si>
    <t>Total prioritering</t>
  </si>
  <si>
    <t>Inv (mill kr)</t>
  </si>
  <si>
    <t>Krødsherad kommune:
Område med lavere statisk trykk enn 25 mVS.
Anbefalt tiltak å etablere trykkreduksjonskum og ledningsanlegg for å koble Gran og Fagernesfeltet til egen trykksone på ca kt 215 (+15 mVS).</t>
  </si>
  <si>
    <t>Krødsherad kommune:
Område med lavere statisk trykk enn 25 mVS.
Anbefalt tiltak å etablere trykkøkningsstastasjon og ring ledningsanlegg for å koble Gran og Fagernesfeltet til egen trykksone på ca kt 215 (+15 mVS).</t>
  </si>
  <si>
    <t xml:space="preserve">Lav kost-nytte, men vil øke branvanns-kapasiteten i sentrum. </t>
  </si>
  <si>
    <r>
      <t xml:space="preserve">Krødsherad kommune:
Kapasitetsøkning vann Vestsiden </t>
    </r>
    <r>
      <rPr>
        <sz val="11"/>
        <color theme="1"/>
        <rFont val="Calibri"/>
        <family val="2"/>
        <scheme val="minor"/>
      </rPr>
      <t>(uten avkloakering Vestsiden).
Ca 5 km overføringsledning Bjørnstad-Bjerkerud.</t>
    </r>
  </si>
  <si>
    <t>Ikke KRY faktor/mål-tiltak</t>
  </si>
  <si>
    <t>Krødsherad kommune:
Tiltak for å kunne slippe vann ned fra Hanserud HB til nedre trykksone som første steg i ufasing av Klokkarplassen HB. RV plasseres i omløp Klokkarplassen trykkøkningsstasjon. Inkluderer elektrisk ventil og styring.</t>
  </si>
  <si>
    <t xml:space="preserve">Krødsherad kommune:
Omlegging av bassengløsning  </t>
  </si>
  <si>
    <t>Krødsherad kommune:
PEL ledning fra 1970, fra Søndre Bjøre og sørover frem til Nordre Bjerkerud (overgangen til PVC fra -98, sid 1672, 2338, 1658 osv.) prioriteres for sanering i år 1. Evt. bør sanering av dette ledningsstrekket samordnes med avkloakkering av vestsiden av Krøderen, hvis dette blir vedtatt gjennomført.</t>
  </si>
  <si>
    <t>2026-2028</t>
  </si>
  <si>
    <t xml:space="preserve">Krødsherad kommune:
En andel av PE-ledningene («Highland-ledninger»: kan være registrert som PE, PEH, PE50, PEL osv.) fra -70-tallet skiftes ut på sikt. Det settes opp en fast andel ledningsnett årlig, på 500 m hvert år.  Oppstart etter Bjøreledning og støpernsledninger er gjennomført og deretter ut planperioden. </t>
  </si>
  <si>
    <t>2028-2032</t>
  </si>
  <si>
    <t>Krødsherad kommune:
Støpejernsledninger i Krøderen er i dårlig stand (gir rust i vannet) og prioriteres høyt for sanering. Dette gjelder to strekk med støpejern (fra 1960 og 1970)</t>
  </si>
  <si>
    <t>Krødsherad kommune/NVA:
Kommunen har som mål å sanere 4 felleskummer vann/spillvann pr år  i planperioden (fra 54 til 15 kummer, gir en reduksjon på 70 %). (VS kum ved Shell, sid 924, må prioriteres høyt pga oljesøl)</t>
  </si>
  <si>
    <t>2023-2032</t>
  </si>
  <si>
    <t>Krødsherad kommune:
Opprusting av bygningsmessig og utvidelse  med 200 m3 i eget kammer. Kalkyle 6.2 mill kr i 2020 økt til 8 mill kr (prisjustering)</t>
  </si>
  <si>
    <t>12V</t>
  </si>
  <si>
    <t>NVA:
Lagt inn kostnad for nytt basseng, men forprosjekt bør gjennomføres for å vurdere om basseng kan saneres. Volum beregnes nå til ca 600 m3.</t>
  </si>
  <si>
    <t>Krødsherad kommune:
Nytt UV aggregat iht. MBA.</t>
  </si>
  <si>
    <t>Krødsherad kommune:
Nytt UV aggregat iht MBA.</t>
  </si>
  <si>
    <t xml:space="preserve">Totalsum med og uten Vestsiden-ledningen? </t>
  </si>
  <si>
    <t>Lm. Pris (gjennomsnitt av siste 2 år for prosjekter med kun vannledning: 10 000 
Lm. Pris (gjennomsnitt av siste 2 år for prosjekter med 3 ledninger i grøft. Antatt 30 % av totalkostnad på vann): 8 000</t>
  </si>
  <si>
    <t>Kun vannledning</t>
  </si>
  <si>
    <t>Kostnad (kr)</t>
  </si>
  <si>
    <t>Investeringstiltak overvann 2023 - 2032</t>
  </si>
  <si>
    <t>Lm.Pris</t>
  </si>
  <si>
    <t>Gjennom-føres i år</t>
  </si>
  <si>
    <t>Vedlegg  11</t>
  </si>
  <si>
    <t>Driftstiltak 2023-2032</t>
  </si>
  <si>
    <t>Total kostnad 
(mill. kr)</t>
  </si>
  <si>
    <t>Årlig kostnad (mill. kr)</t>
  </si>
  <si>
    <t>Gjennomføres år</t>
  </si>
  <si>
    <t>1dV</t>
  </si>
  <si>
    <t>Inspeksjon/rep. skjøter sjøledninger vann</t>
  </si>
  <si>
    <t>Alle sjøledninger fra -70-tallet, som er skjøtet med bolter, inspiseres av dykker og boltene byttes ut i de tilfeller de er dårlige</t>
  </si>
  <si>
    <t>2dV</t>
  </si>
  <si>
    <t>Tilbakeslagssikring av egne anlegg (RA, pumpestasjoner avløp, 2-3 stk)</t>
  </si>
  <si>
    <t>Kartlegging og utbedring av ev. tilfeller som ikke tilfredsstiller NS1717 (tilbakeslagssikring)</t>
  </si>
  <si>
    <t>3dV</t>
  </si>
  <si>
    <t>Utskifting av dårlige brannventiler til stengbar type og tilbakeslagssikring på nyere kuleventiler.</t>
  </si>
  <si>
    <t>Kartlegging og utbedring av ev. kummer med dårlige brannventiler og utskifting til nye stengbare brannventiler med god kapasitet i kritiske brannkummer.  Etablere tilbakeslagssikringslokk på nyere kulventiler som ev ikke har dette.</t>
  </si>
  <si>
    <t>2023-2027</t>
  </si>
  <si>
    <t>4dV</t>
  </si>
  <si>
    <t>Klordosering Sunnelykkja og Slettemoen VBA</t>
  </si>
  <si>
    <t>Justere klordosering iht. konsentrasjoner som framkommer av MBA analyse for nytt oppsett med UV+klor.</t>
  </si>
  <si>
    <t>5dV</t>
  </si>
  <si>
    <t>Brannalarm Slettemoen VBA</t>
  </si>
  <si>
    <t>Etablere brann alarm med ekstern varsling Slettemoen (fra ROS)</t>
  </si>
  <si>
    <t>6dV</t>
  </si>
  <si>
    <t>Etablere punkter for pluggkjøring</t>
  </si>
  <si>
    <t>Etablere punkter for pluggkøring på kritiske strekninger (fra ROS). Estimerer 10 pkt</t>
  </si>
  <si>
    <t>7dV</t>
  </si>
  <si>
    <t>Etablere flere vannmålere med overvåkning på nettet</t>
  </si>
  <si>
    <t>Flere vannmålere på kommunalt nett (fra ROS). Estimerer 3 stk.</t>
  </si>
  <si>
    <t>8dV</t>
  </si>
  <si>
    <t>Registrering av brudd i GISLINE</t>
  </si>
  <si>
    <t>Kommunen bør starte med digital registrering av ledningsbrudd slik at det opparbeides historikk for framtidig grunnlag til å velge ledninger som skal saneres.</t>
  </si>
  <si>
    <t>9dV</t>
  </si>
  <si>
    <t>Legge inn trykksoner og målesoner for vann i GISLINE</t>
  </si>
  <si>
    <t>Det bør legges inn sonetrykk pr ledning slik at det kan vises trykksonekart i GISLINE. I tillegg bør målesoner legges inn med soneID på ledninger ev også med polygoner. Temakart bør opprettes i ledningskartet for rask tilgang til informasjon om trykk og målesoner.</t>
  </si>
  <si>
    <t>10dV</t>
  </si>
  <si>
    <t>Kartlegge og fornye trykkreduksjonsventiler vann</t>
  </si>
  <si>
    <t>Eksisterende trykkreduksjonsventiler  bør kartlegges og ved behov fornyes.  Spesielt  i Krøderen må hovedtrykkreduksjonsventilen ved skolen fornyes og brannuttak etableres oppstrøms for ventilen for bla å øke brannvannskapasitet i Krøderen.   Tilsvarende må øvrige trykkreduksjonsventiler i Noresund og NVA sjekkes og vurderes mht. utskiftning både ut fra kapasitet og tilstand.</t>
  </si>
  <si>
    <t>2023-2024</t>
  </si>
  <si>
    <t>11dV</t>
  </si>
  <si>
    <t>Hydrogeologiske vurderinger av grunnavnn mht klimapåvirkning</t>
  </si>
  <si>
    <t>Brønnområder bør vurderes av hydrogeolog for å få dokumentert ev. endringer og sannsynlighet for framtidig påvrikning av grunnvannet og ev. behov for at vannbehandlingsprosess må endres/tilpasses.</t>
  </si>
  <si>
    <t>12dV</t>
  </si>
  <si>
    <t>Kartlegge grunne vannledinger /frostutsatte ledninger</t>
  </si>
  <si>
    <t>Som følge av klimaendringer bør det gjennomføres kartelegging av frostutsatte ledninger og ev. tiltak anbefales.</t>
  </si>
  <si>
    <t>1dVAO</t>
  </si>
  <si>
    <t>Oppdatere GISLine</t>
  </si>
  <si>
    <r>
      <t xml:space="preserve">I løpet av prosjektet har det kommet frem flere feil og mangler i GISLINE-basen. Datagrunnlaget må forbedres ved å etterregistrere manglende data. </t>
    </r>
    <r>
      <rPr>
        <sz val="11"/>
        <rFont val="Calibri"/>
        <family val="2"/>
        <scheme val="minor"/>
      </rPr>
      <t>Dette bør utføres så snart som mulig, i henhold til beskrivelsen i Tabell 7‑34 i statuskapittelet.</t>
    </r>
    <r>
      <rPr>
        <sz val="11"/>
        <color theme="1"/>
        <rFont val="Calibri"/>
        <family val="2"/>
        <scheme val="minor"/>
      </rPr>
      <t xml:space="preserve"> 
Antatt bruk at interne ressurser og derfor ikke beregnet noen tilleggskostnader. </t>
    </r>
  </si>
  <si>
    <t>2023 og påfølgende år fram til ferdigstillelse. Svært viktig med god oversikt over ledningsnett.</t>
  </si>
  <si>
    <t>1dA</t>
  </si>
  <si>
    <t>Kartlegging og utbedring av feilkoblinger</t>
  </si>
  <si>
    <t>I utslippstillatelsen for Noresund ( (Fylkesmannen i Oslo og Viken, 2018) står det skrevet at arbeid med systematisk retting av feilkoblinger skal ha høy prioritet. Det skal være etablert et system for å oppdage og fjerne utslipp grunnet feilkoblinger av stikkledninger til det kommunale avløpsnettet. Dette omfatter i tillegg lekkasje fra spillvann- til overvannsledning, utslipp som skyldes tilstoppinger i ledningsanlegg, kumfeil o.a. Det er mistanke om at drensledninger noen steder er koblet på spillvannsledningen, da det er mange områder med ett-rørs separatsystem. Dette vil resultere i fremmedvann i spillvannsnettet.  I området Gamlesetra/Sandumseter, på Norefjell er det mistanke om at dette er tilfelle.  Det bør gjennomføres et prosjekt med systematisk og områdesvis kartlegging for å avdekke feilkoblinger, i tillegg til målinger på overvannsutslipp for å avdekke evt. tilstoppinger/lekkasjer i felleskummer for spillvann og overvann. Alle ett rørs separatsystem, også på Krøderen, bør kartlegges (fargetest, røyktest, løfte på kumlokk ved kraftige nedbørshendelser etc.) Utbedringer foretas fortløpende etter hvert som feilkoblinger oppdages.
(Antatt utført i egenregi.)</t>
  </si>
  <si>
    <t>2023 og påfølgende år frem til ferdigstillelse. Viktig pga rød diagnose virkningsgrad.</t>
  </si>
  <si>
    <t>2dA</t>
  </si>
  <si>
    <t>Rørinspeksjon avløpsnett - Krødsherad kommune</t>
  </si>
  <si>
    <r>
      <t xml:space="preserve">Alle ledninger i risikoklasse rørinspiseres for å få et godt grunnlag for prioritering av ledninger til sanering. Rørinspeksjon gjennomføres iht. plan diskutert i møte med Norva24 26.04.22. Rørinspeksjonen startes opp ca. mai 2022. Kummer kartlegges samtidig, og det tas bilder av alle kummer. De ulike tilstandsklassene registreres i GisLine som følge av rørinspeksjonene. 
</t>
    </r>
    <r>
      <rPr>
        <sz val="11"/>
        <rFont val="Calibri"/>
        <family val="2"/>
        <scheme val="minor"/>
      </rPr>
      <t>Kostnad satt til 0 da dette ble utført i 2022.</t>
    </r>
  </si>
  <si>
    <t>Pengene brukes i 2022. Viktig pga rød diagnose virkningsgrad og sanering av ledningsnett.</t>
  </si>
  <si>
    <t>3dA</t>
  </si>
  <si>
    <t>Kartlegging og utbedring av SO-kummer med mulighet for kortslutning</t>
  </si>
  <si>
    <t xml:space="preserve">Kartlegge og sanere SO-kummer med mulighet for kortslutning (iht. mål vedr. felleskummer). De kummene som har blitt kartlagt ved rørinspeksjon er det ikke behov for å inspisere, man kan se på bildene som ble tatt i forbindelse med rørinspeksjonenen. For øvrige områder må det gjennomføres en egen kartlegging. Kummene saneres fortløpende i de tilfeller det oppdages mulighet for kortslutning. 
Antar gjennomføringskapasitet på 4 kummer pr. år i fem år. 
Antatt bruk at interne ressurser og derfor ikke beregnet noen tilleggskostnader. </t>
  </si>
  <si>
    <t>Oppstart 2023 frem til ferdigstillelse. Viktig pga rød diagnose virkningsgrad.</t>
  </si>
  <si>
    <t>4dA</t>
  </si>
  <si>
    <t>Kartlegging av kummer med ukjent funksjon</t>
  </si>
  <si>
    <t xml:space="preserve">Det er 195 kummer som er registret med ukjent funksjon i kartdatabasen. Kummer er viktige driftspunkt i ledningsnettet og det bør derfor gjennomføres en kartlegging av disse for å avklare hvilken funksjon kummene har og funnene registreres i GisLine. Hvis noen av disse kummene med ukjent funksjon viser seg å være felleskum for spillvann og overvann med fare for kortslutning, så gjennomføres det også her nødvendige saneringstiltak.
De kummene som har blitt kartlagt ved rørinspeksjon er det ikke for å inspisere, man kan se på bildene som ble tatt i forbindelse med rørinspeksjonenen. For øvrige områder må det gjennomføres en egen kartlegging for å fastsette funksjon. 
Samordnes med kartlegging av SO-kummer.
Antatt bruk at interne ressurser og derfor ikke beregnet noen tilleggskostnader. </t>
  </si>
  <si>
    <t>2024 og påfølgende år frem til ferdigstillelse.</t>
  </si>
  <si>
    <t>5dA</t>
  </si>
  <si>
    <t>Kartlegging og utbedring av dårlige kummer - Krødsherad kommune</t>
  </si>
  <si>
    <t xml:space="preserve">Kummer i eldre ledningsnett som ikke skal saneres i løpet av planperioden, bør kartlegges for å kontrollere tilstanden på disse. Det kan være en del utette kummer som er årsak til den lave virkningsgraden, eller eventuelt innlekking av fremmedvann. De kummene som er i dårlig tilstand saneres fortløpende etter hvert som dekke avdekkes.
Samordnes med kartlegging av SO-kummer.
Antatt bruk at interne ressurser og derfor ikke beregnet noen tilleggskostnader. </t>
  </si>
  <si>
    <t>2024 og påfølgende år frem til ferdigstillelse. Svær viktig å ha god oversikt over ledningsnettet.</t>
  </si>
  <si>
    <t>6dA</t>
  </si>
  <si>
    <t>Kartlegging og utbedring av utette kummer - NVA</t>
  </si>
  <si>
    <t xml:space="preserve">Kartlegging av kummer på Norefjell for å avdekke utette kummer. 
Det kan være en del utette kummer (dette er kummer som har vært private, som nå er overtatt av NVA)  som er årsak til den lave virkningsgraden, eller eventuelt innlekking av fremmedvann. Det er observert i flere av disse kummene at pakningen rundt stigerøret i bunnen av kummen er utett. Disse kummene bør derfor kartlegges og saneres fortløpende i de tilfeller det oppdages innlekking (det kan sees bort fra området kalt H2, der kummene ble sanert i 2022).
Samordnes med kartlegging av SO-kummer.
Antatt bruk at interne ressurser og derfor ikke beregnet noen tilleggskostnader.  </t>
  </si>
  <si>
    <t>7dA</t>
  </si>
  <si>
    <t>Driftsovervåkning nødoverløp</t>
  </si>
  <si>
    <t xml:space="preserve">Det er fortsatt 6 nødoverløp der ikke driftstid registreres. Disse tilknyttes i løpet av de første 3 årene, dvs. to pr. år. (Estimert kostnad: 100 000 pr. stasjon for tilknytning) </t>
  </si>
  <si>
    <t>2023-2025. Viktig pga gul diagnose driftsovervåking.</t>
  </si>
  <si>
    <t>8dA</t>
  </si>
  <si>
    <t>Mengdemåler PA20 Sommero</t>
  </si>
  <si>
    <t>Kontrollere mengdemåler i PA20 Sommero da kommunen har mistanke om at det er noe feil med målingene.  
(Antas utført i egen regi. Det er derfor ikke beregnet noen kostnader.)</t>
  </si>
  <si>
    <t>9dA</t>
  </si>
  <si>
    <t>Tømmerutiner sandfang</t>
  </si>
  <si>
    <t>Det er viktig å ha en hensiktsmessig tømmerutine for sandfangene i ledningsnettet. Disse rutinene er litt mangelfulle i Krødsherad kommune i dag. Kommunen må først få oversikt over alle sandfangene i ledningsnettet og registrere disse i GILSLINE. Deretter bør det utarbeides og igangsettes behovsprøvde tømmerutiner for disse. Tømmeintervallene må fastsettes både ut fra fyllingsgrad og resipientenes sårbarhet. En mulighet er å sette på sensorer på sandfangene som signaliserer når det enkelte sandfang må tømmes.
(Antas utført i egen regi. Det er derfor ikke beregnet noen kostnader.)</t>
  </si>
  <si>
    <t>2025. Viktig for å holde tilbake forurensninger fra veiarealer o.a.</t>
  </si>
  <si>
    <t>10dA</t>
  </si>
  <si>
    <t>Tilstrekkelig antall sandfang</t>
  </si>
  <si>
    <t xml:space="preserve">Det bør gjøres en vurdering av om det i dag er installert tilstrekkelig antall sandfang, eller andre type nødvendige tiltak, ved kilder til forurensning (trafikkerte veier, parkeringsarealer ol.) for å holde tilbake forurensning i tilstrekkelig grad. </t>
  </si>
  <si>
    <t>1dO</t>
  </si>
  <si>
    <t>Etablering av kommunale nedbørstasjoner</t>
  </si>
  <si>
    <t>Det anbefales å etablere to stasjoner for korttidsnedbør i kommunen for å få best mulig kunnskap om klima og nedbørfordeling lokalt. Dette vil redusere risikoen for feildimensjonering av overvannstiltak</t>
  </si>
  <si>
    <t>2dO</t>
  </si>
  <si>
    <t>Ettersyn av bekkeinntak</t>
  </si>
  <si>
    <t>Samtlige bekkeinntak i kommunen bør ettersees minst en gang hver høst og vår for å avdekke eventuell gjentetting av inntakene. Bekkeinntak med tilhørende flomvei som potensielt kan føre til konsekvenser bør i tillegg ettersees i forkant og etterkant av varslet ekstremvær.
(Antas utført i egen regi. Det er derfor ikke beregnet noen kostnader.)</t>
  </si>
  <si>
    <t>Årlig fom 2023. Viktig for å unngå flom/oversvømmelse på bakken.</t>
  </si>
  <si>
    <t>3dO</t>
  </si>
  <si>
    <t>Ettersyn av utløp fra overvannsnettet på Glesnemoen</t>
  </si>
  <si>
    <t xml:space="preserve">Det er viktig å ha tilsyn på utløpet fra overvannsnettet på Glesnemoen, da gjentetting av dette vil kunne føre til konsekvenser for boligområdene oppstrøms. Ettersyn av dette utløpet bør innarbeides i kommunens rutiner. Samordnes eventuelt med ettersyn av pumpestasjoner. </t>
  </si>
  <si>
    <t>Vedlegg  12</t>
  </si>
  <si>
    <t>Plantiltak 2023-2032</t>
  </si>
  <si>
    <t>Kostnad (mill. kr)</t>
  </si>
  <si>
    <t>1pV</t>
  </si>
  <si>
    <t xml:space="preserve">Forprosjekt HB12 Sandumseter </t>
  </si>
  <si>
    <t>Tilstandsvurdering og avklaring av om det bør renoveres eller bygges nytt (dagens er fra 1950 tallet). Dimensjonering av basseng.</t>
  </si>
  <si>
    <t>2pV</t>
  </si>
  <si>
    <t>Kartlegge risikoabonnenter mht tilbakeslagssikring iht NS1717</t>
  </si>
  <si>
    <t>Gjennomføre en kartlegging av risikoabonnenter og påse at det er tilbakestrømingssikring iht NS EN 1717 (fra ROS analyse)</t>
  </si>
  <si>
    <t>3pV</t>
  </si>
  <si>
    <t>Kartlegge sårbare abonnenter</t>
  </si>
  <si>
    <t>Kartlegge sårbare abonnenter (ved bortfall av forsyning) - ha dialog omkring leveringsplikt og egenberedskap (fra ROS analyse)</t>
  </si>
  <si>
    <t>4pV</t>
  </si>
  <si>
    <t>Foprosjekt ledningsanlegg til Hanserud for utfasing av Klokkarplasssen HB</t>
  </si>
  <si>
    <t>Forprosjekt for å se på traser, dimensjonering og teknisk løsning.  Kostandsoverslag.</t>
  </si>
  <si>
    <t>5pV</t>
  </si>
  <si>
    <t>Årlig oppdatering nettmodell vann</t>
  </si>
  <si>
    <t>Årlig oppdatering av nettmodell for å holde den oppdatert i forhold til endringer i ledningsnett og anlegg.</t>
  </si>
  <si>
    <t>6pV</t>
  </si>
  <si>
    <t>Vannforsyning NVA - statusvurdering</t>
  </si>
  <si>
    <t>1pA</t>
  </si>
  <si>
    <t>Opprydding spredt avløp</t>
  </si>
  <si>
    <t>For spredt bebyggelse (ikke vestsiden av Krøderen) gjennomføres tilstandskartlegging av anlegg, sonevis og i prioritert rekkefølge. Det sendes ut pålegg om oppgradering av anlegg, evt. etablering av privat fellesanlegg, i de tilfellene der anlegg ikke tilfredsstiller gjeldende krav. 
(Hvis den nye kommunale ledningen langs Krøderen ikke bygges, må dette også gjennomføres for alle abonnenter langs vestsiden av Krøderen.)
(Dette er allere inkludert i ansvarsområdet for Tilsynskontoret for små avløpsanlegg, det beregnes derfor ingen ytterligere kostnader for gjennomføring av dette.)</t>
  </si>
  <si>
    <t>Årlig fom 2023 frem til ferdigstillelse. Viktig pga rød diagnose tilstand spredte avløpsanlegg.</t>
  </si>
  <si>
    <t>2pA</t>
  </si>
  <si>
    <t>Revisjon saneringsplan spredt avløp</t>
  </si>
  <si>
    <t>Saneringsplanen for spredt avløp bør revideres i år 3, 6 og 9 av handlingsplanen. Dette da det er vanskelig å estimere fremdriften i dette prosjektet nøyaktig, saneringsplanen bør derfor revideres og tilpasses virkeligheten regelmessig. Kostnad 0 kr. da det gjøres i egenregi i kommunen eller av tilsynet.</t>
  </si>
  <si>
    <t>Revideres i 2025, 2028 og 2031</t>
  </si>
  <si>
    <t>3pA</t>
  </si>
  <si>
    <t>Reguleringsarbeid avkloakkering av vestsiden av Krøderen</t>
  </si>
  <si>
    <t xml:space="preserve">Reguleringsarbeid i forbindelse med ledningen på vestsiden av Krøderen (hvis avkloakkering av vestsiden vedtas). </t>
  </si>
  <si>
    <t>4pA</t>
  </si>
  <si>
    <t>Kapasitetsøkning Leineseter</t>
  </si>
  <si>
    <t xml:space="preserve">I forbindelse med tilknytning av hyttefelt i Sigdal kommune, med ca. 4000 pe, må behovet for kapasitetsøkning for Leineseter pumpestasjon med tilhørende pumpeledning og Sommero pumpestasjon, vurderes. </t>
  </si>
  <si>
    <t>5pA</t>
  </si>
  <si>
    <t>Vurdering av nitrogenrensekrav</t>
  </si>
  <si>
    <t>I brev fra Miljødirektoratet til Statsforvalterne, av 13. mai 2022 , heter det at alle omfattende tettbebyggelser med samlet utslipp over 10 000 pe, innenfor nedbørsfeltet til Oslofjorden, må påregne krav om nitrogenfjerning. I henhold til utslippstillatelsen er Norefjell avløpsrenseanlegg dimensjonert for en tilførsel på 13 000 pe BOF5 i 2025. Dette utgjør kun utslippstørrelsen for den delen av tettbebyggelsen som tilfører sitt avløpsvann til Norefjell avløpsrenseanlegg. Innenfor tettbebyggelsen kan det i tillegg være flere andre avløpsrenseanlegg over 50 pe som også skal beregnes inn i tettbebyggelsens størrelse. Dermed vil Noresund tettbebyggelse falle innunder det som regnes som en omfattende tettbebyggelse i Oslofjordens nedbørsfelt, og som dermed må påregne å få krav om nitrogenfjerning.  Med bakgrunn i at planperioden strekker seg fra 2023 til 2033, er det viktig at Kommunedelplanen sier noe om kommunens plan for arbeidet med å innføre nitrogenrensing. I tillegg beskriver utkast til revidert avløpsdirektiv at avløpsvann fra tettbebyggelser mellom 10 000 og 100 000 pe kan få krav om både tre og fire rensetrinn. Et fjerde rensetrinn skal fjerne mikroforurensninger; mikroplast, bakterier/virus og legemiddelrester. Det er viktig at kommunen tar høyde for at det vil komme nye krav og setter av nok areal for utvidelse av avløpsrenseanlegg. Som en følge av uttalelsen fra Statsforvalteren, anbefales at kommunen gjennomfører en utredning for å vurdere behovet for nitrogenrensing ved Norefjell avløpsrenseanlegg og evt. utarbeider en plan for arbeidet med å innføre dette.</t>
  </si>
  <si>
    <t>1pO</t>
  </si>
  <si>
    <t>Kapasitets- og risikovurdering av bekkeinntak</t>
  </si>
  <si>
    <t>Det bør gjøres en kapasitets- og risikovurdering av bekkinntakene som ikke allerede har gjennomgått en slik vurdering. Det bør gjøres befaring i forkant for nøyaktige inndata til analysene. Påfølgende investerings- og driftstiltak anbefales hvis resultatene tilsier at det er nødvendig.
(Estimerte kostnader til konsulentoppdrag)</t>
  </si>
  <si>
    <t>2023. Viktig for å unngå flom/oversvømmelse på bakken.</t>
  </si>
  <si>
    <t>2pO</t>
  </si>
  <si>
    <t>Flomvei langs Ringnesveien nord for Noresund-broen</t>
  </si>
  <si>
    <t>Kommunen bør vurdere behov for flomvei langs Ringnesveien nærmere da modelleringsresultater viser at det kan samles opp vann i veiområdene ved kraftig nedbør her. Viken fylkeskommune er ansvarlig myndighet for denne veien. Hvis flomvei vurderes som nødvendig oversendes forslag til løsning til Viken fylkeskommune. 
(Estimerte kostnader til konsulentoppdrag)</t>
  </si>
  <si>
    <t>2024. Viktig for å unngå flom/oversvømmelse på bakken.</t>
  </si>
  <si>
    <t>3pO</t>
  </si>
  <si>
    <t>Flomvei langs Krøderfjordveien i Noresund sentrum</t>
  </si>
  <si>
    <t>Kommunen bør vurdere behovet for flomvei langs Krøderfjordveien i Noresund sentrum da modelleringsresultater viser at det kan samles opp vann i veiområdene ved kraftig nedbør her. Viken fylkeskommune er ansvarlig myndighet for denne veien. Hvis flomvei vurderes som nødvendig oversendes forslag til løsning til Viken fylkeskommune.
(Estimerte kostnader til konsulentoppdrag)</t>
  </si>
  <si>
    <t>4pO</t>
  </si>
  <si>
    <t>Flomvei langs Krødserfjordveien nord for Noresund sentrum</t>
  </si>
  <si>
    <t>Kommunne bør vurdere behovet for flomvei videre nordover langs Krøderfjordveien nærmere da modelleringsresultater viser at det kan renne større mengder overvann ned mot veien ved kraftig nedbør. Viken fylkeskommune er ansvarlig myndighet for denne veien. Hvis flomvei vurderes som nødvendig oversendes forslag til løsning til Viken fylkeskommune.</t>
  </si>
  <si>
    <t>Vedlegg  13</t>
  </si>
  <si>
    <t>Administrative tiltak 2023-2032</t>
  </si>
  <si>
    <t>Kostnad 
(mill. kr)</t>
  </si>
  <si>
    <t>Årskostnad (mill. kr)</t>
  </si>
  <si>
    <t>1admV</t>
  </si>
  <si>
    <t>Rutine for brannvannsdekning</t>
  </si>
  <si>
    <t>Kommunen har en målsetting om at slokkevann skal være et viktig kriterium i alle prosjekt der kommunen er tiltakshaver eller skal overta anlegget og der dette kan påvirkes/forbedres.  Det må derfor innarbeides i kommunens rutiner at dette alltid vurderes (feks ved byggesøknad eller regulering).</t>
  </si>
  <si>
    <t>2023 og årlig</t>
  </si>
  <si>
    <t>1admVAO</t>
  </si>
  <si>
    <t>Ny stilling</t>
  </si>
  <si>
    <t>Kommunen ser at det kan bli utfordrende å ha tilstrekkelig kapasitet til å følge handlingsplanen i denne planen. Det er svært viktig at det finnes tilstrekkelig med ressurser i kommunen for å følge opp handlingsplanen i denne hovedplanen. Kommunen har i tillegg også for få ressurser til drift og vedlikehold av GISLine basen, og til å følge opp pålegg om tilknytning i forbindelse med utbygging av ny kommunal ledning. Det er derfor et stort behov for økt bemanning og det anbefales sterkt å opprette denne nye stillingen. Opprettelsen av en slik stilling vurderes i samråd med NVA.</t>
  </si>
  <si>
    <t>Årlig kostnad: 1 mill. Viktig for å kunne gjennomføre handlingsplanen i hovedplanen og dermed viktig for oppfyllelse av alle målene.</t>
  </si>
  <si>
    <t>2admVAO</t>
  </si>
  <si>
    <t>Bruk av klimakalkulator i prosjekter for ledningsanlegg</t>
  </si>
  <si>
    <t>I forbindelse med detaljposjektering av lednings-/overvannsanlegg skal det benyttes klimakalkulator. Dette innarbeides i kommunens rutiner og gjøres ved at resultatet fra klimakalulatorberegningen tillegges vekt.</t>
  </si>
  <si>
    <t>3admVAO</t>
  </si>
  <si>
    <t>Beredskaps-bemanning</t>
  </si>
  <si>
    <t>I forbindelse med eventuelle krisesituasjoner kan det være behov for ekstra bemanning. Mulighetene for bistand fra nabokommuner, lokale entreprenører og driftsassistansen, bør derfor avklares og formaliseres (tiltak foreslått i ROS analyse avløp).</t>
  </si>
  <si>
    <t>4admVAO</t>
  </si>
  <si>
    <t>Rutine for vurdering av energieffektiv drift</t>
  </si>
  <si>
    <t>Målsettingen om at kommunen skal ha rutiner for regelmessig vurdering av tiltak som kan iverksettes for å oppnå mest mulig energieffektiv drift av hele VA-anlegget har fått rød diagnose. Det må derfor etableres en slik rutine, dette er også et krav i utslippstillatelsen til Norefjell renseanlegg.
(Konsulentoppdrag)</t>
  </si>
  <si>
    <t>2023. Viktig pga rød diagnose for energivurdering av drift.</t>
  </si>
  <si>
    <t>5admVAO</t>
  </si>
  <si>
    <t>Oppfølging måloppnåelse</t>
  </si>
  <si>
    <t>Det er viktig å følge opp måloppnåelsen i en plan. Det bør derfor gjøres opp status årlig i forhold til om målsettingene i denne hovedplanen er oppnådd eller ikke. Kommunen bør utarbeide system(er) for å registrere følgende:  
Varighet på avbrudd i vannforsyningen (med dato). Dette kan gjøres ved å installere flere målere på nettet som er koblet til driftskontrollen.
Totalt antall prosjekter på vannledningsnettet gjennomført årlig der kommunen er tiltakshaver, eller skal overta anlegget og hvilke av disse prosjektene der slokkevann er vurdert.
Antall VS-kummer sanert hvert år.
Oversikt over antall m vannledning og avløpsledning i risikoklasse som er sanert hvert år.
Hendelser som skaper estetiske problemer på utslippsstedet. F.eks. anskaffe Powell sitt kundemeldingssystem. Hendelser med stans i PS eller RA i mer enn 24 timer.
Type hendelser med manglende kapasitet i ledningsnettet, med tilhørende nedbørsmengde og/eller om det var snøsmelting da hendelsen inntraff.
Hendelser med flom på overflaten grunnet utilstrekkelig kapasitet i overvannsnettet.
Observasjoner av større vannansamlinger, og følge opp om noen av disse er gjentakende hendelser.
Antall planer der overvann ikke ble tatt hensyn til i ønsket grad.
Antall utlyste prosjekter siste år der det ikke var krav til bruk av miljøkalkulator.
Loggføre ettersyn av bekkeintak i henhold til ny rutine.</t>
  </si>
  <si>
    <t>2023 og alle år deretter</t>
  </si>
  <si>
    <t>6admVAO</t>
  </si>
  <si>
    <t>Gjennomføring av fysiske tiltak i nærheten av strømledning</t>
  </si>
  <si>
    <t xml:space="preserve">Ved gjennomføring av anleggsarbeider i nærheten av strømnettet og innenfor Statnetts rettighetsbelte (20 meter til hver side for senter av ledningen), må dette avklares med Statnett som ledningseier. Det samme gjelder alt anleggsarbeid som kan nå innenfor 30 meter fra ytterste strømførende line. Det bør opprettes en rutine som sikrer at dette gjennomføres i forbindelse med planlegging av de aktuelle fysiske anleggene. Se også veiledning på Statnett sin hjemmeside; https://www.statnett.no/om-statnett/vart-hms-arbeid/arbeid-nar-hoyspentanlegg/ samt publikasjonen "Anleggsmaskiner og elektriske anlegg" som finnes der. Denne publikasjonen illustrerer grunnlaget for Statnett sitt HMS-arbeid ved ledninger og kabler som er spenningssatt.   </t>
  </si>
  <si>
    <t>1admA</t>
  </si>
  <si>
    <t>Rutine for prøvetaking i bekker</t>
  </si>
  <si>
    <t xml:space="preserve">Som følge av målsettingene er det avdekket behov for oppfølging av vannkvalitet i noen resipienter. Det utarbeides derfor rutine for regelmessigprøvetaking i bekk ved Glesne kapell, Fyrandelva, Bjøreelva, Hamremoen, Briskåsen og i Nore bekkefelt. 
Tiltak skal gjennomføres ved mistanke om negativ påvirkning fra avløpsutslipp. </t>
  </si>
  <si>
    <t>2admA</t>
  </si>
  <si>
    <t xml:space="preserve">Rutine for årlige stikkprøver i øvrige vannforekomster </t>
  </si>
  <si>
    <t xml:space="preserve">Det etableres rutine for årlige stikkprøver av øvrige vannforekomster. 
Prøvetakingen bør utføres slik at en kjører hele fjorden rundt med båt og tar prøver der det lukter avløp, eller der man ser avløpssøppel.
Det tas prøver i øvrige bekker ved mistanke om påvirkning av avløpsvann. 
Ved mistanke om negativ påvirkning fra avløpsutslipp skal det gjennomføres tiltak. </t>
  </si>
  <si>
    <t>3admA</t>
  </si>
  <si>
    <t>Rutine for prøvetaking badeplasser</t>
  </si>
  <si>
    <t xml:space="preserve">Det utarbeides en prøvetakingsrutine for lokaliteter som er tilrettelagt for friluftsbad (Storesanden, Kryllingheimen/Norestranden, Stasjonsekra og Glesnemoen, samt de private strendene ved Sole Gjestegård og Krøderen Camping). </t>
  </si>
  <si>
    <t>4admA</t>
  </si>
  <si>
    <t xml:space="preserve">Pålegg om tilknytning vestsiden </t>
  </si>
  <si>
    <t>Dersom ny ledning bygges langs vestsiden av Krøderen:
1.  må det sendes pålegg om tilknytning til kommunalt nett til alle innenfor 500 m-beltet (forutsatt at kostnadene ikke overstiger 2,5 G). 
2. For boligene innenfor 500-meters beltet, der kostandene overstiger 2,5 G, sendes det ut pålegg om oppgradering av privat anlegg til gjeldende standard (evt. etablering av felles privat anlegg) i de tilfeller der det avdekkes behov for dette (ved tilstandskartlegging). Antas utført i egenregi, evt. ved Tilsynet</t>
  </si>
  <si>
    <t>2024 og årlig frem til ferdigstillelse. Viktig pga rød diagnose tilknytningsgrad.</t>
  </si>
  <si>
    <t>5admA</t>
  </si>
  <si>
    <t xml:space="preserve">Pålegg om tilknytning øvrig bebyggelse </t>
  </si>
  <si>
    <t>Det sendes ut pålegg om tilknytning for øvrig bebyggelse i kommunen innenfor 500 m fra kommunal ledning, som i dag har privat anlegg, forutsatt at kostnadene ikke overstiger 2,5 G.</t>
  </si>
  <si>
    <t>2023 og frem til ferdigstillelse. Viktig pga rød diagnose tilknytningsgrad.</t>
  </si>
  <si>
    <t>6admA</t>
  </si>
  <si>
    <t>Rutine for registrering av nødoverløp som avvik</t>
  </si>
  <si>
    <t xml:space="preserve">Det etableres en rutine for registrering av utslipp fra nødoverløp som har overvåking som avvik i avviksskjema, i henhold til krav i utslippstillatelsen for Norefjell renseanlegg. </t>
  </si>
  <si>
    <t>7admA</t>
  </si>
  <si>
    <t>Septiktanker</t>
  </si>
  <si>
    <t>Kommunen har ønske om at alle gjenstående septiktanker nedlegges. Kommunen bør derfor sende ut pålegg om frakobling av disse tankene.</t>
  </si>
  <si>
    <t>2023 og frem til ferdigstillelse. Viktig pga rød diagnose virkningsgrad.</t>
  </si>
  <si>
    <t>8admA</t>
  </si>
  <si>
    <t>Registrering av henvendelser vedrørende lukt</t>
  </si>
  <si>
    <t>Henvendelser om lukt ikke registreres noe sted. Det bør derfor vurderes om det bør etableres en rutine med logging av disse klagene, for å kunne følge opp målsettingen på en god måte.</t>
  </si>
  <si>
    <t>9admA</t>
  </si>
  <si>
    <t>Driftsinstrukser</t>
  </si>
  <si>
    <t>Sikre at det foreligger nødvendige driftsinstrukser og driftsprosedyrer for å unngå driftsstopp som følge av mangel på driftsoperatører (tiltak fra ROS avløp, moderat risiko).</t>
  </si>
  <si>
    <t>10admA</t>
  </si>
  <si>
    <t>Serviceavtaler</t>
  </si>
  <si>
    <t>Sikre gode serviceavtaler med leverandører av utstyr, etc.for å redusere sannsynligheten for driftsstopp som følge av mangel på deler (tiltak fra ROS avløp, moderat risiko).</t>
  </si>
  <si>
    <t>11admA</t>
  </si>
  <si>
    <t>Øvelse akutt utslipp</t>
  </si>
  <si>
    <t>Det kan oppstå hendelser med akutt utslipp pga tankbilvelt f.eks. Det er derfor viktig at kommunen regelmessig gjennomfører øvelser i akutt utslipp til ytre miljø (tiltak fra ROS avløp, moderat risiko).</t>
  </si>
  <si>
    <t>12admA</t>
  </si>
  <si>
    <t>Kjelleroversvømmelser</t>
  </si>
  <si>
    <t>Kjelleroversvømmelser bør registreres som avvik, det etableres en rutine for dette.</t>
  </si>
  <si>
    <t>13admA</t>
  </si>
  <si>
    <t>Kartlegging av tettbebyggelser</t>
  </si>
  <si>
    <r>
      <t xml:space="preserve">Som en følge av at Statsforvalteren nå styrer etter tettbebyggelser, er det viktig at alle kommuner kartlegger sine tettbebyggelser. Dette har Krødsherad kommune foreløpig ikke gjort. Kartleggingen skal definere kommunens tettbebyggelse(r) i henhold til definisjonen av tettbebyggelse i forurensningsforskriften § 11-3 bokstav k. Det er tettbebyggelsens samlede utslipp i pe BOF5 som avgjør myndighet og krav (regulering etter forurensningsforskriften kapittel 13 og 14). Det er i denne sammenheng viktig å avdekke om det finnes avløpsrenseanlegg med tilknytning over 50 pe, innenfor tettbebyggelse med utslippsstørrelse omfattet av kapittel 14, altså med Statsforvalteren som forurensningsmyndighet. </t>
    </r>
    <r>
      <rPr>
        <u/>
        <sz val="11"/>
        <rFont val="Calibri"/>
        <family val="2"/>
        <scheme val="minor"/>
      </rPr>
      <t>Dersom dette er tilfelle, må disse avløpsrenseanleggene også overholde kravene i forurensningsforskriften kapittel 14.</t>
    </r>
    <r>
      <rPr>
        <sz val="11"/>
        <rFont val="Calibri"/>
        <family val="2"/>
        <scheme val="minor"/>
      </rPr>
      <t xml:space="preserve"> Kartleggingen utføres i egen regi.</t>
    </r>
  </si>
  <si>
    <t>14admA</t>
  </si>
  <si>
    <t>Vurdering av tiltak opp mot miljømål</t>
  </si>
  <si>
    <t>Det bør opprettes interne rutiner/maler for vurdering av tiltak og planforslag opp mot vannmiljø og fastsatte miljømål, jf. regional vannforvaltningsplan og vannforskriftens §§ 4-7 og § 12. Dette for å sikre at det tas hensyn til vannmiljø og miljømål ved valg og prioritering av tiltak i kommunen.</t>
  </si>
  <si>
    <t>Revidert beregning av virkningsgrad</t>
  </si>
  <si>
    <t>Statsforvalteren styrer nå etter tettbebyggelser og ikke rensedistrikt. Dette medfører at virkningsgraden bør beregnes innenfor hver tettbebyggelse. Når Krødsherad kommune har ferdigstilt tettbebyggelseskartleggingen bør det beregnes nye tall for virkningsgrad innenfor tettbebyggelsen(e).</t>
  </si>
  <si>
    <t>1admO</t>
  </si>
  <si>
    <t>Stikkrenne/kulvert under Krøderfjordveien sør for Krøderen sentrum</t>
  </si>
  <si>
    <t>Det samler seg ofte vann i lavbrekk på østsiden av veien og renner ut i veien. Det anbefales å etablere stikkrenne/kulvert under veien da vannet må krysse veien for å nå frem til fjorden. Viken fylkeskommune er ansvarlig myndighet for denne veien. Kommunen oversender brev til Viken fylkeskommune og informerer om situasjonen og forslaget til løsning på problemet.</t>
  </si>
  <si>
    <t>2admO</t>
  </si>
  <si>
    <t xml:space="preserve">NVE kommenterte i sitt høringsinnspill til denne planen at de savner en tydeligere vurdering av hvordan endringer i vannmengder vil kunne virke inn på vassdragene. Det er vurdert i planen hvordan økte påslipp vil påvirke vannkvaliteten i vassdragene, men ikke økte vannmengder, da dette normalt ikke er en del av en KDP for vann, avløp og overvann. Økt mengde overvann som føres til vassdragene kan medføre endret hastighet på vannet, endrete vannstander, økt fare for erosjon med mer. Kommunen bør som følge av høringsinnspillet avklare med NVE hva som menes og om kommunen evt. bør ta med dette i fremtidige planer. </t>
  </si>
  <si>
    <t>1admVM</t>
  </si>
  <si>
    <t>Miljøundersøkelser Krøderen</t>
  </si>
  <si>
    <r>
      <t xml:space="preserve">Selv om den økologiske tilstanden i Krøderen er god, bør kommunen følge opp med regelmessige miljøundersøkelser. Det er planlagt mye hyttebygging i nedslagsfeltet til Krøderen, og dette vil øke presset på resipienten. I tillegg kan klimaendringene gi uheldige konsekvenser som følge av f.eks. økt erosjon og avrenning, økt primærproduksjon og endringer i næringskjeder.
Dette handler delvis om krav til overvåkning for kap. 14-anlegg. Her må undersøkelser gjennomføres i henhold til vannforskriften/klassifiseringsveilder 02:2018, der fokuset er på biologiske kvalitetselementer, for eksempel planteplankton i innsjøer eller begroingsalger og bunndyr i bekker. Dette er viktig for å kunne klassifisere økologisk tilstand etter vannforskriften. Det anbefales derfor å utarbeide en rutine for gjennomføring av slike miljøundersøkelser, og iverksette denne. 
</t>
    </r>
    <r>
      <rPr>
        <sz val="11"/>
        <rFont val="Calibri"/>
        <family val="2"/>
        <scheme val="minor"/>
      </rPr>
      <t xml:space="preserve">
Kommunen gjør allerede deler av dette, men det bør settes opp et program for både innsjø og elver.</t>
    </r>
  </si>
  <si>
    <t xml:space="preserve">2023 og alle år deretter </t>
  </si>
  <si>
    <t>SUM 2023-2032</t>
  </si>
  <si>
    <r>
      <t xml:space="preserve">Investeringstiltak vann </t>
    </r>
    <r>
      <rPr>
        <b/>
        <i/>
        <sz val="18"/>
        <color rgb="FFFF0000"/>
        <rFont val="Calibri"/>
        <family val="2"/>
        <scheme val="minor"/>
      </rPr>
      <t>2022 - 2032</t>
    </r>
  </si>
  <si>
    <r>
      <t>Lm. Pris (</t>
    </r>
    <r>
      <rPr>
        <b/>
        <sz val="11"/>
        <color rgb="FFFF0000"/>
        <rFont val="Calibri"/>
        <family val="2"/>
        <scheme val="minor"/>
      </rPr>
      <t>gjennomsnitt av siste 2 år for prosjekter med kun vannledning: 10 000 
Lm. Pris (gjennomsnitt av siste 2 år for prosjekter med 3 ledninger i grøft. Antatt 30 % av totalkostnad på vann): 8 000</t>
    </r>
  </si>
  <si>
    <t>Antall stasjoner</t>
  </si>
  <si>
    <t>Enhetspris stasjon</t>
  </si>
  <si>
    <t xml:space="preserve">Tiltaket i1v vil redusere risikoen for  innsug av avløpsvann i  drikkevannsnettet men dette er ikke en  av risikohendelsene i denne planen. </t>
  </si>
  <si>
    <t>Lav kost-nytte.</t>
  </si>
  <si>
    <t>3Va</t>
  </si>
  <si>
    <t>Økt kapasitet sammenkobling Krødren-Norsund.</t>
  </si>
  <si>
    <t>Krødsherad kommune:
Avkloakkering Vestsiden
Middels prioritet.</t>
  </si>
  <si>
    <t>Ikke KRY faktor, er ikke framkommet pga målformulering.</t>
  </si>
  <si>
    <t>3Vb</t>
  </si>
  <si>
    <t>Krødsherad kommune:
kapasitetsøkning vann Vestsiden
Middels prioritet.</t>
  </si>
  <si>
    <t>4Va</t>
  </si>
  <si>
    <t>Krødsherad kommune:
Tiltak for å kunne slippe vann ned fra Hanserud hb til nedre trykksone som første steg i ufasing av Klokkarplassen hb.  RV plasseres i omløp Klokkarplassen trykkøkningsstasjon. Inkluderer elektrisk ventil og styring.</t>
  </si>
  <si>
    <t>4Vb</t>
  </si>
  <si>
    <t>Ny tilførsel Hanserud HB og ringledning til Bjertnes</t>
  </si>
  <si>
    <t>5Vb</t>
  </si>
  <si>
    <t>Sanering VL Bjørekrysset</t>
  </si>
  <si>
    <r>
      <rPr>
        <sz val="7"/>
        <color theme="1"/>
        <rFont val="Times New Roman"/>
        <family val="1"/>
      </rPr>
      <t xml:space="preserve"> </t>
    </r>
    <r>
      <rPr>
        <sz val="11"/>
        <color theme="1"/>
        <rFont val="Calibri"/>
        <family val="2"/>
        <scheme val="minor"/>
      </rPr>
      <t>PEL ledning fra 1970, fra Bjørekrysset og frem til overgangen til PVC fra -98 (sid 1672, 2338, 1658 osv.) prioriteres for sanering i år 1. Evt. bør sanering av dette ledningsstrekket samordnes med avkloakkering av vestsiden av Krøderen, hvis dette blir vedtatt gjennomført.</t>
    </r>
  </si>
  <si>
    <t>2023  (ev  i sammenheng med av kloakkering Vestsiden)</t>
  </si>
  <si>
    <t>Sanering VL langs Vestsiden av Krøderen</t>
  </si>
  <si>
    <t>Hvis avkloakkering langs vestsiden av Krøderen vedtas gjennomført, skiftes vannledningsnettet ut langs hele dette strekket samtidig</t>
  </si>
  <si>
    <t>Ikke KRY</t>
  </si>
  <si>
    <t xml:space="preserve">Hvis avkloakkering langs vestsiden av Krøderen IKKE vedtas gjennomført, så byttes uansett en andel av PE-ledningene («Highland-ledninger»: kan være registrert som PE, PEH, PE50, PEL osv.) fra -70-tallet ut på sikt. Det settes opp en fast andel ledningsnett årlig, på 500 m hvert år.  Oppstart etter Bjøreledning og støpernsledninger er gjennomført og deretter ut palnperioden. </t>
  </si>
  <si>
    <t>Det som gjenstår av støpejernsledninger i Krøderen er i dårlig stand og prioriteres høyt for sanering. Dette gjelder to strekk med støpejern (fra 1960 og 1970)</t>
  </si>
  <si>
    <t xml:space="preserve">Kommunen har som mål å sanere 4 felleskummer vann/spillvann pr år  i planperioden (fra 54 til 15 kummer, gir en reduksjon på 70 %). </t>
  </si>
  <si>
    <t>Opprusting av bygningsmessig og utvidelse  med 200 m3 i eget kammer</t>
  </si>
  <si>
    <t>7pV</t>
  </si>
  <si>
    <t>Gjøre en status mht utviklingen i vannforbruket for NVA for Norefjell og områder ved fjorden. Gjøre ny beregning av restkapasitet i ledningsnett, trykkøkningsstasjoner, brønner/kilde, høydebasseng og vannbehandlingsanlegg på Sunnelykkja.  Vurdere om det er behov for etablere tiltak på hovednettet og sette i gang prosjektering eller eller om tiltak kan vente ytterligere noen år.  Dette vil være helt avhengig av antall nye senger i NVA og dels hvor i NVA disse etableres.</t>
  </si>
  <si>
    <t>Konsesjon grunnvannsuttak Sunnelykkja og Slettemoen</t>
  </si>
  <si>
    <t>Melde grunnvannsuttak til NVE for vurdering av konsesjonsplikt.  Hvis NVE svarer at utakene er konsesjonspliktige må det utarbeides konsesjonssøknad etter vassressurslova.</t>
  </si>
  <si>
    <t>18V</t>
  </si>
  <si>
    <t>Ny Bjertnes trykkøkningsstasjon</t>
  </si>
  <si>
    <t>19V</t>
  </si>
  <si>
    <t>Kapasitetsøkning brannvann Noresund</t>
  </si>
  <si>
    <t>Kapasitetsøkning brannvann Krøderen</t>
  </si>
  <si>
    <t>Tiltak for å øke brannvannskapasitet til å tilfredsstille preakseptert ytelse i TEK/PBL for Noresund teettsted. Rundsum.</t>
  </si>
  <si>
    <t>Tiltak for å øke brannvannskapasitet til å tilfredsstille preakseptert ytelse i TEK/PBL for Krøderen  tettsted. Rundsum.</t>
  </si>
  <si>
    <t>Ny trykkøkningsstasjon Bjertnes med overbygg.</t>
  </si>
  <si>
    <t>Økt vannmengde / avrenning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</si>
</sst>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0.00_ ;\-#,##0.00\ "/>
    <numFmt numFmtId="167" formatCode="0.0"/>
  </numFmts>
  <fonts count="45" x14ac:knownFonts="1">
    <font>
      <sz val="11"/>
      <color theme="1"/>
      <name val="Calibri"/>
      <family val="2"/>
      <scheme val="minor"/>
    </font>
    <font>
      <b/>
      <sz val="11"/>
      <color theme="1"/>
      <name val="Calibri"/>
      <family val="2"/>
      <scheme val="minor"/>
    </font>
    <font>
      <sz val="11"/>
      <color rgb="FFFF0000"/>
      <name val="Calibri"/>
      <family val="2"/>
      <scheme val="minor"/>
    </font>
    <font>
      <sz val="10"/>
      <name val="Arial"/>
      <family val="2"/>
    </font>
    <font>
      <sz val="11"/>
      <name val="Calibri"/>
      <family val="2"/>
      <scheme val="minor"/>
    </font>
    <font>
      <b/>
      <sz val="11"/>
      <name val="Calibri"/>
      <family val="2"/>
      <scheme val="minor"/>
    </font>
    <font>
      <b/>
      <sz val="11"/>
      <color theme="9"/>
      <name val="Calibri"/>
      <family val="2"/>
      <scheme val="minor"/>
    </font>
    <font>
      <sz val="11"/>
      <color theme="9"/>
      <name val="Calibri"/>
      <family val="2"/>
      <scheme val="minor"/>
    </font>
    <font>
      <b/>
      <i/>
      <sz val="16"/>
      <name val="Calibri"/>
      <family val="2"/>
      <scheme val="minor"/>
    </font>
    <font>
      <sz val="11"/>
      <color rgb="FF9C0006"/>
      <name val="Calibri"/>
      <family val="2"/>
      <scheme val="minor"/>
    </font>
    <font>
      <sz val="11"/>
      <color theme="1"/>
      <name val="Calibri"/>
      <family val="2"/>
      <scheme val="minor"/>
    </font>
    <font>
      <sz val="11"/>
      <color theme="1"/>
      <name val="Symbol"/>
      <family val="1"/>
      <charset val="2"/>
    </font>
    <font>
      <b/>
      <sz val="11"/>
      <color rgb="FFFF0000"/>
      <name val="Calibri"/>
      <family val="2"/>
      <scheme val="minor"/>
    </font>
    <font>
      <sz val="11"/>
      <color rgb="FFFF0000"/>
      <name val="Symbol"/>
      <family val="1"/>
      <charset val="2"/>
    </font>
    <font>
      <sz val="11"/>
      <name val="Symbol"/>
      <family val="1"/>
      <charset val="2"/>
    </font>
    <font>
      <sz val="11"/>
      <color theme="0" tint="-0.499984740745262"/>
      <name val="Calibri"/>
      <family val="2"/>
      <scheme val="minor"/>
    </font>
    <font>
      <sz val="11"/>
      <color theme="0" tint="-0.499984740745262"/>
      <name val="Symbol"/>
      <family val="1"/>
      <charset val="2"/>
    </font>
    <font>
      <b/>
      <i/>
      <sz val="22"/>
      <name val="Calibri"/>
      <family val="2"/>
      <scheme val="minor"/>
    </font>
    <font>
      <b/>
      <sz val="11"/>
      <color rgb="FFFA7D00"/>
      <name val="Calibri"/>
      <family val="2"/>
      <scheme val="minor"/>
    </font>
    <font>
      <sz val="10"/>
      <color theme="1"/>
      <name val="Calibri"/>
      <family val="2"/>
      <scheme val="minor"/>
    </font>
    <font>
      <b/>
      <i/>
      <sz val="12"/>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i/>
      <sz val="18"/>
      <name val="Calibri"/>
      <family val="2"/>
      <scheme val="minor"/>
    </font>
    <font>
      <b/>
      <i/>
      <sz val="18"/>
      <color theme="1"/>
      <name val="Calibri"/>
      <family val="2"/>
      <scheme val="minor"/>
    </font>
    <font>
      <b/>
      <i/>
      <sz val="11"/>
      <color theme="1"/>
      <name val="Calibri"/>
      <family val="2"/>
      <scheme val="minor"/>
    </font>
    <font>
      <b/>
      <sz val="12"/>
      <name val="Calibri"/>
      <family val="2"/>
      <scheme val="minor"/>
    </font>
    <font>
      <b/>
      <sz val="12"/>
      <color theme="9"/>
      <name val="Calibri"/>
      <family val="2"/>
      <scheme val="minor"/>
    </font>
    <font>
      <sz val="12"/>
      <name val="Calibri"/>
      <family val="2"/>
      <scheme val="minor"/>
    </font>
    <font>
      <sz val="12"/>
      <color theme="9"/>
      <name val="Calibri"/>
      <family val="2"/>
      <scheme val="minor"/>
    </font>
    <font>
      <sz val="12"/>
      <color rgb="FFFF0000"/>
      <name val="Symbol"/>
      <family val="1"/>
      <charset val="2"/>
    </font>
    <font>
      <i/>
      <sz val="11"/>
      <name val="Calibri"/>
      <family val="2"/>
      <scheme val="minor"/>
    </font>
    <font>
      <i/>
      <sz val="10"/>
      <name val="Calibri"/>
      <family val="2"/>
      <scheme val="minor"/>
    </font>
    <font>
      <b/>
      <i/>
      <sz val="18"/>
      <color rgb="FFFF0000"/>
      <name val="Calibri"/>
      <family val="2"/>
      <scheme val="minor"/>
    </font>
    <font>
      <i/>
      <sz val="10"/>
      <color rgb="FFFF0000"/>
      <name val="Calibri"/>
      <family val="2"/>
      <scheme val="minor"/>
    </font>
    <font>
      <sz val="10"/>
      <color rgb="FFFF0000"/>
      <name val="Calibri"/>
      <family val="2"/>
      <scheme val="minor"/>
    </font>
    <font>
      <sz val="12"/>
      <color rgb="FFFF0000"/>
      <name val="Calibri"/>
      <family val="2"/>
      <scheme val="minor"/>
    </font>
    <font>
      <sz val="7"/>
      <color theme="1"/>
      <name val="Times New Roman"/>
      <family val="1"/>
    </font>
    <font>
      <sz val="11"/>
      <color theme="1"/>
      <name val="Calibri"/>
      <family val="1"/>
      <scheme val="minor"/>
    </font>
    <font>
      <strike/>
      <sz val="11"/>
      <name val="Calibri"/>
      <family val="2"/>
      <scheme val="minor"/>
    </font>
    <font>
      <b/>
      <i/>
      <sz val="11"/>
      <name val="Calibri"/>
      <family val="2"/>
      <scheme val="minor"/>
    </font>
    <font>
      <sz val="10"/>
      <name val="Calibri"/>
      <family val="2"/>
      <scheme val="minor"/>
    </font>
    <font>
      <vertAlign val="superscript"/>
      <sz val="12"/>
      <name val="Calibri"/>
      <family val="2"/>
      <scheme val="minor"/>
    </font>
    <font>
      <u/>
      <sz val="1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7CE"/>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2F2F2"/>
      </patternFill>
    </fill>
    <fill>
      <patternFill patternType="solid">
        <fgColor theme="0" tint="-0.34998626667073579"/>
        <bgColor indexed="64"/>
      </patternFill>
    </fill>
    <fill>
      <patternFill patternType="solid">
        <fgColor theme="0" tint="-0.249977111117893"/>
        <bgColor indexed="64"/>
      </patternFill>
    </fill>
    <fill>
      <patternFill patternType="solid">
        <fgColor rgb="FFEF91DD"/>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bottom style="thin">
        <color theme="2" tint="-0.24994659260841701"/>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5">
    <xf numFmtId="0" fontId="0" fillId="0" borderId="0"/>
    <xf numFmtId="0" fontId="3" fillId="0" borderId="0"/>
    <xf numFmtId="0" fontId="9" fillId="4" borderId="0" applyNumberFormat="0" applyBorder="0" applyAlignment="0" applyProtection="0"/>
    <xf numFmtId="43" fontId="10" fillId="0" borderId="0" applyFont="0" applyFill="0" applyBorder="0" applyAlignment="0" applyProtection="0"/>
    <xf numFmtId="0" fontId="18" fillId="12" borderId="9" applyNumberFormat="0" applyAlignment="0" applyProtection="0"/>
  </cellStyleXfs>
  <cellXfs count="493">
    <xf numFmtId="0" fontId="0" fillId="0" borderId="0" xfId="0"/>
    <xf numFmtId="0" fontId="1" fillId="0" borderId="0" xfId="0" applyFont="1" applyAlignment="1">
      <alignment vertical="center" wrapText="1"/>
    </xf>
    <xf numFmtId="0" fontId="0" fillId="0" borderId="1" xfId="0" applyBorder="1" applyAlignment="1">
      <alignment vertical="center" wrapText="1"/>
    </xf>
    <xf numFmtId="0" fontId="0" fillId="0" borderId="1" xfId="0" applyBorder="1" applyAlignment="1">
      <alignment vertical="top" wrapText="1"/>
    </xf>
    <xf numFmtId="0" fontId="1" fillId="0" borderId="1" xfId="0" applyFont="1" applyBorder="1" applyAlignment="1">
      <alignment vertical="top" wrapText="1"/>
    </xf>
    <xf numFmtId="0" fontId="7" fillId="0" borderId="0" xfId="0" applyFont="1"/>
    <xf numFmtId="0" fontId="1" fillId="3" borderId="1" xfId="0" applyFont="1" applyFill="1" applyBorder="1" applyAlignment="1">
      <alignment vertical="center" wrapText="1"/>
    </xf>
    <xf numFmtId="0" fontId="6" fillId="3" borderId="1" xfId="0" applyFont="1" applyFill="1" applyBorder="1"/>
    <xf numFmtId="0" fontId="0" fillId="0" borderId="0" xfId="0" applyAlignment="1">
      <alignment vertical="top" wrapText="1"/>
    </xf>
    <xf numFmtId="0" fontId="0" fillId="0" borderId="0" xfId="0" applyAlignment="1">
      <alignment vertical="top"/>
    </xf>
    <xf numFmtId="0" fontId="1" fillId="3" borderId="1" xfId="0" applyFont="1" applyFill="1" applyBorder="1" applyAlignment="1">
      <alignment horizontal="center" vertical="center"/>
    </xf>
    <xf numFmtId="0" fontId="5" fillId="0" borderId="1" xfId="0" applyFont="1" applyBorder="1" applyAlignment="1">
      <alignment horizontal="center" vertical="top" wrapText="1"/>
    </xf>
    <xf numFmtId="0" fontId="1" fillId="0" borderId="0" xfId="0" applyFont="1" applyAlignment="1">
      <alignment horizontal="center" vertical="center"/>
    </xf>
    <xf numFmtId="0" fontId="5" fillId="3" borderId="1" xfId="0" applyFont="1" applyFill="1" applyBorder="1" applyAlignment="1">
      <alignment vertical="center" wrapText="1"/>
    </xf>
    <xf numFmtId="0" fontId="4" fillId="0" borderId="0" xfId="0" applyFont="1" applyAlignment="1">
      <alignment vertical="center" wrapText="1"/>
    </xf>
    <xf numFmtId="164" fontId="5" fillId="3" borderId="1" xfId="0" applyNumberFormat="1" applyFont="1" applyFill="1" applyBorder="1" applyAlignment="1">
      <alignment vertical="center" wrapText="1"/>
    </xf>
    <xf numFmtId="164" fontId="4" fillId="0" borderId="0" xfId="0" applyNumberFormat="1" applyFont="1" applyAlignment="1">
      <alignment vertical="center" wrapText="1"/>
    </xf>
    <xf numFmtId="0" fontId="1" fillId="6" borderId="0" xfId="0" applyFont="1" applyFill="1" applyAlignment="1">
      <alignment horizontal="center" vertical="center"/>
    </xf>
    <xf numFmtId="0" fontId="1" fillId="6" borderId="0" xfId="0" applyFont="1" applyFill="1" applyAlignment="1">
      <alignment vertical="center" wrapText="1"/>
    </xf>
    <xf numFmtId="0" fontId="5" fillId="6" borderId="0" xfId="0" applyFont="1" applyFill="1" applyAlignment="1">
      <alignment vertical="center" wrapText="1"/>
    </xf>
    <xf numFmtId="164" fontId="5" fillId="6" borderId="0" xfId="0" applyNumberFormat="1" applyFont="1" applyFill="1" applyAlignment="1">
      <alignment vertical="center" wrapText="1"/>
    </xf>
    <xf numFmtId="0" fontId="6" fillId="6" borderId="0" xfId="0" applyFont="1" applyFill="1"/>
    <xf numFmtId="0" fontId="1" fillId="6" borderId="0" xfId="0" applyFont="1" applyFill="1"/>
    <xf numFmtId="0" fontId="13" fillId="0" borderId="0" xfId="0" applyFont="1" applyAlignment="1">
      <alignment horizontal="left" vertical="center" wrapText="1"/>
    </xf>
    <xf numFmtId="0" fontId="4" fillId="0" borderId="1" xfId="0" applyFont="1" applyBorder="1" applyAlignment="1">
      <alignment vertical="top" wrapText="1"/>
    </xf>
    <xf numFmtId="0" fontId="5" fillId="0" borderId="1" xfId="0" applyFont="1" applyBorder="1" applyAlignment="1">
      <alignment vertical="top" wrapText="1"/>
    </xf>
    <xf numFmtId="0" fontId="0" fillId="6" borderId="0" xfId="0" applyFill="1" applyAlignment="1">
      <alignment vertical="center" wrapText="1"/>
    </xf>
    <xf numFmtId="0" fontId="0" fillId="0" borderId="0" xfId="0" applyAlignment="1">
      <alignment vertical="center" wrapText="1"/>
    </xf>
    <xf numFmtId="0" fontId="0" fillId="8" borderId="0" xfId="0" applyFill="1"/>
    <xf numFmtId="0" fontId="5" fillId="0" borderId="1" xfId="0" applyFont="1" applyBorder="1" applyAlignment="1">
      <alignment vertical="center" wrapText="1"/>
    </xf>
    <xf numFmtId="0" fontId="1" fillId="0" borderId="0" xfId="0" applyFont="1" applyAlignment="1">
      <alignment vertical="top" wrapText="1"/>
    </xf>
    <xf numFmtId="0" fontId="1" fillId="9" borderId="1" xfId="0" applyFont="1" applyFill="1" applyBorder="1" applyAlignment="1">
      <alignment horizontal="center" vertical="center"/>
    </xf>
    <xf numFmtId="0" fontId="1" fillId="9" borderId="1" xfId="0" applyFont="1" applyFill="1" applyBorder="1" applyAlignment="1">
      <alignment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6" fillId="0" borderId="0" xfId="0" applyFont="1"/>
    <xf numFmtId="0" fontId="12" fillId="0" borderId="0" xfId="0" applyFont="1" applyAlignment="1">
      <alignment vertical="top" wrapText="1"/>
    </xf>
    <xf numFmtId="0" fontId="1" fillId="3" borderId="0" xfId="0" applyFont="1" applyFill="1" applyAlignment="1">
      <alignment vertical="center" wrapText="1"/>
    </xf>
    <xf numFmtId="0" fontId="0" fillId="0" borderId="1" xfId="0" applyBorder="1"/>
    <xf numFmtId="0" fontId="0" fillId="10" borderId="0" xfId="0" applyFill="1" applyAlignment="1">
      <alignment vertical="top"/>
    </xf>
    <xf numFmtId="0" fontId="4" fillId="0" borderId="1" xfId="0" applyFont="1" applyBorder="1" applyAlignment="1">
      <alignment horizontal="justify" vertical="top"/>
    </xf>
    <xf numFmtId="0" fontId="1" fillId="2" borderId="1" xfId="0" applyFont="1" applyFill="1" applyBorder="1" applyAlignment="1">
      <alignment vertical="center" wrapText="1"/>
    </xf>
    <xf numFmtId="164" fontId="5" fillId="0" borderId="1" xfId="3" applyNumberFormat="1" applyFont="1" applyBorder="1" applyAlignment="1">
      <alignment vertical="top" wrapText="1"/>
    </xf>
    <xf numFmtId="0" fontId="1" fillId="0" borderId="1" xfId="0" applyFont="1" applyBorder="1" applyAlignment="1">
      <alignment horizontal="left" vertical="top" wrapText="1"/>
    </xf>
    <xf numFmtId="0" fontId="0" fillId="0" borderId="0" xfId="0" applyAlignment="1">
      <alignment horizontal="center" vertical="top" wrapText="1"/>
    </xf>
    <xf numFmtId="0" fontId="8" fillId="3" borderId="4" xfId="0" applyFont="1" applyFill="1" applyBorder="1" applyAlignment="1">
      <alignment horizontal="right" vertical="center"/>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3" borderId="3" xfId="0" applyFont="1" applyFill="1" applyBorder="1" applyAlignment="1">
      <alignment horizontal="left" vertical="center"/>
    </xf>
    <xf numFmtId="0" fontId="4" fillId="0" borderId="0" xfId="0" applyFont="1" applyAlignment="1">
      <alignment horizontal="center" vertical="top" wrapText="1"/>
    </xf>
    <xf numFmtId="0" fontId="4" fillId="7" borderId="1" xfId="0" applyFont="1" applyFill="1" applyBorder="1" applyAlignment="1">
      <alignment horizontal="justify" vertical="top"/>
    </xf>
    <xf numFmtId="0" fontId="7" fillId="7" borderId="1" xfId="0" applyFont="1" applyFill="1" applyBorder="1" applyAlignment="1">
      <alignment vertical="top"/>
    </xf>
    <xf numFmtId="0" fontId="14" fillId="0" borderId="1" xfId="0" applyFont="1" applyBorder="1" applyAlignment="1">
      <alignment horizontal="center" vertical="center" wrapText="1"/>
    </xf>
    <xf numFmtId="0" fontId="1" fillId="7" borderId="1" xfId="0" applyFont="1" applyFill="1" applyBorder="1" applyAlignment="1">
      <alignment vertical="center" wrapText="1"/>
    </xf>
    <xf numFmtId="0" fontId="0" fillId="7" borderId="1" xfId="0" applyFill="1" applyBorder="1" applyAlignment="1">
      <alignment vertical="center" wrapText="1"/>
    </xf>
    <xf numFmtId="164" fontId="5" fillId="7" borderId="1" xfId="0" applyNumberFormat="1" applyFont="1" applyFill="1" applyBorder="1" applyAlignment="1">
      <alignment vertical="center" wrapText="1"/>
    </xf>
    <xf numFmtId="0" fontId="4" fillId="7" borderId="1" xfId="0" applyFont="1" applyFill="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left" vertical="center"/>
    </xf>
    <xf numFmtId="0" fontId="5" fillId="7" borderId="1" xfId="0" applyFont="1" applyFill="1" applyBorder="1" applyAlignment="1">
      <alignment vertical="center" wrapText="1"/>
    </xf>
    <xf numFmtId="0" fontId="8" fillId="3" borderId="1" xfId="0" applyFont="1" applyFill="1" applyBorder="1" applyAlignment="1">
      <alignment horizontal="left" vertical="center"/>
    </xf>
    <xf numFmtId="0" fontId="0" fillId="0" borderId="0" xfId="0" applyAlignment="1">
      <alignment wrapText="1"/>
    </xf>
    <xf numFmtId="0" fontId="0" fillId="7" borderId="0" xfId="0" applyFill="1" applyAlignment="1">
      <alignment horizontal="center" vertical="top" wrapText="1"/>
    </xf>
    <xf numFmtId="0" fontId="0" fillId="7" borderId="0" xfId="0" applyFill="1"/>
    <xf numFmtId="0" fontId="0" fillId="14" borderId="0" xfId="0" applyFill="1" applyAlignment="1">
      <alignment wrapText="1"/>
    </xf>
    <xf numFmtId="0" fontId="1" fillId="7" borderId="0" xfId="0" applyFont="1" applyFill="1"/>
    <xf numFmtId="0" fontId="1" fillId="0" borderId="1" xfId="0" applyFont="1" applyBorder="1" applyAlignment="1">
      <alignment horizontal="center" vertical="top"/>
    </xf>
    <xf numFmtId="164" fontId="0" fillId="0" borderId="1" xfId="0" applyNumberFormat="1" applyBorder="1"/>
    <xf numFmtId="0" fontId="4" fillId="8" borderId="6" xfId="0" applyFont="1" applyFill="1" applyBorder="1" applyAlignment="1">
      <alignment horizontal="center" vertical="center" wrapText="1"/>
    </xf>
    <xf numFmtId="0" fontId="5" fillId="15" borderId="6" xfId="4" applyFont="1" applyFill="1" applyBorder="1" applyAlignment="1">
      <alignment horizontal="center" vertical="center" wrapText="1"/>
    </xf>
    <xf numFmtId="0" fontId="0" fillId="0" borderId="1" xfId="0" applyBorder="1" applyAlignment="1">
      <alignment vertical="top"/>
    </xf>
    <xf numFmtId="164" fontId="0" fillId="0" borderId="0" xfId="3" applyNumberFormat="1" applyFont="1" applyAlignment="1">
      <alignment horizontal="center" vertical="top" wrapText="1"/>
    </xf>
    <xf numFmtId="164" fontId="0" fillId="7" borderId="5" xfId="3" applyNumberFormat="1" applyFont="1" applyFill="1" applyBorder="1" applyAlignment="1">
      <alignment horizontal="center" vertical="top" wrapText="1"/>
    </xf>
    <xf numFmtId="0" fontId="19" fillId="0" borderId="0" xfId="0" applyFont="1" applyAlignment="1">
      <alignment horizontal="left" vertical="center"/>
    </xf>
    <xf numFmtId="0" fontId="1" fillId="6" borderId="0" xfId="0" applyFont="1" applyFill="1" applyAlignment="1">
      <alignment horizontal="center"/>
    </xf>
    <xf numFmtId="0" fontId="1" fillId="0" borderId="0" xfId="0" applyFont="1" applyAlignment="1">
      <alignment horizontal="center"/>
    </xf>
    <xf numFmtId="0" fontId="1" fillId="10" borderId="1" xfId="0" applyFont="1" applyFill="1" applyBorder="1"/>
    <xf numFmtId="0" fontId="1" fillId="10" borderId="1" xfId="0" applyFont="1" applyFill="1" applyBorder="1" applyAlignment="1">
      <alignment horizontal="center"/>
    </xf>
    <xf numFmtId="0" fontId="4" fillId="8" borderId="1" xfId="0" applyFont="1" applyFill="1" applyBorder="1" applyAlignment="1">
      <alignment horizontal="center" vertical="center" wrapText="1"/>
    </xf>
    <xf numFmtId="0" fontId="1" fillId="0" borderId="1" xfId="0" applyFont="1" applyBorder="1" applyAlignment="1">
      <alignment horizontal="center"/>
    </xf>
    <xf numFmtId="164" fontId="0" fillId="0" borderId="1" xfId="0" applyNumberFormat="1" applyBorder="1" applyAlignment="1">
      <alignment vertical="top"/>
    </xf>
    <xf numFmtId="0" fontId="1" fillId="14" borderId="14" xfId="0" applyFont="1" applyFill="1" applyBorder="1" applyAlignment="1">
      <alignment wrapText="1"/>
    </xf>
    <xf numFmtId="0" fontId="1" fillId="0" borderId="1" xfId="0" applyFont="1" applyBorder="1" applyAlignment="1">
      <alignment horizontal="left" vertical="center" wrapText="1"/>
    </xf>
    <xf numFmtId="0" fontId="0" fillId="0" borderId="16" xfId="0" applyBorder="1"/>
    <xf numFmtId="0" fontId="5" fillId="0" borderId="16" xfId="0" applyFont="1" applyBorder="1" applyAlignment="1">
      <alignment vertical="center" wrapText="1"/>
    </xf>
    <xf numFmtId="0" fontId="6" fillId="0" borderId="16" xfId="0" applyFont="1" applyBorder="1"/>
    <xf numFmtId="0" fontId="12" fillId="0" borderId="16" xfId="0" applyFont="1" applyBorder="1" applyAlignment="1">
      <alignment vertical="top" wrapText="1"/>
    </xf>
    <xf numFmtId="165" fontId="5" fillId="0" borderId="16" xfId="3" applyNumberFormat="1" applyFont="1" applyBorder="1" applyAlignment="1">
      <alignment horizontal="center" vertical="center" wrapText="1"/>
    </xf>
    <xf numFmtId="0" fontId="0" fillId="0" borderId="18" xfId="0" applyBorder="1"/>
    <xf numFmtId="0" fontId="0" fillId="0" borderId="19" xfId="0" applyBorder="1"/>
    <xf numFmtId="0" fontId="1" fillId="0" borderId="16" xfId="0" applyFont="1" applyBorder="1" applyAlignment="1">
      <alignment vertical="center" wrapText="1"/>
    </xf>
    <xf numFmtId="0" fontId="0" fillId="0" borderId="16" xfId="0" applyBorder="1" applyAlignment="1">
      <alignment vertical="center" wrapText="1"/>
    </xf>
    <xf numFmtId="0" fontId="1" fillId="0" borderId="0" xfId="0" applyFont="1" applyAlignment="1">
      <alignment horizontal="center" vertical="top"/>
    </xf>
    <xf numFmtId="164" fontId="1" fillId="0" borderId="0" xfId="3" applyNumberFormat="1" applyFont="1" applyAlignment="1">
      <alignment horizontal="center" vertical="top" wrapText="1"/>
    </xf>
    <xf numFmtId="0" fontId="1" fillId="0" borderId="0" xfId="0" applyFont="1"/>
    <xf numFmtId="0" fontId="1" fillId="9" borderId="0" xfId="0" applyFont="1" applyFill="1" applyAlignment="1">
      <alignment vertical="center" wrapText="1"/>
    </xf>
    <xf numFmtId="0" fontId="1" fillId="7" borderId="0" xfId="0" applyFont="1" applyFill="1" applyAlignment="1">
      <alignment vertical="center" wrapText="1"/>
    </xf>
    <xf numFmtId="164" fontId="5" fillId="0" borderId="0" xfId="3" applyNumberFormat="1" applyFont="1" applyAlignment="1">
      <alignment vertical="top" wrapText="1"/>
    </xf>
    <xf numFmtId="164" fontId="5" fillId="0" borderId="1" xfId="3" applyNumberFormat="1" applyFont="1" applyBorder="1" applyAlignment="1">
      <alignment horizontal="center" vertical="top" wrapText="1"/>
    </xf>
    <xf numFmtId="0" fontId="1" fillId="10" borderId="1" xfId="0" applyFont="1" applyFill="1" applyBorder="1" applyAlignment="1">
      <alignment wrapText="1"/>
    </xf>
    <xf numFmtId="164" fontId="5" fillId="0" borderId="0" xfId="0" applyNumberFormat="1" applyFont="1" applyAlignment="1">
      <alignment horizontal="center" vertical="center" wrapText="1"/>
    </xf>
    <xf numFmtId="0" fontId="8"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6" borderId="0" xfId="0" applyNumberFormat="1" applyFont="1" applyFill="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0" fontId="0" fillId="0" borderId="0" xfId="0" applyAlignment="1">
      <alignment horizontal="center"/>
    </xf>
    <xf numFmtId="0" fontId="5" fillId="15" borderId="1" xfId="4" applyFont="1" applyFill="1" applyBorder="1" applyAlignment="1">
      <alignment horizontal="center" vertical="center" wrapText="1"/>
    </xf>
    <xf numFmtId="0" fontId="8" fillId="0" borderId="0" xfId="0" applyFont="1" applyAlignment="1">
      <alignment horizontal="center" vertical="center"/>
    </xf>
    <xf numFmtId="0" fontId="8" fillId="3" borderId="5" xfId="0" applyFont="1" applyFill="1" applyBorder="1" applyAlignment="1">
      <alignment horizontal="left" vertical="center"/>
    </xf>
    <xf numFmtId="0" fontId="1" fillId="2" borderId="5" xfId="0" applyFont="1" applyFill="1" applyBorder="1" applyAlignment="1">
      <alignment vertical="center" wrapText="1"/>
    </xf>
    <xf numFmtId="0" fontId="8" fillId="3" borderId="5" xfId="0" applyFont="1" applyFill="1" applyBorder="1" applyAlignment="1">
      <alignment horizontal="center" vertical="center"/>
    </xf>
    <xf numFmtId="0" fontId="21" fillId="0" borderId="0" xfId="0" applyFont="1"/>
    <xf numFmtId="0" fontId="23" fillId="0" borderId="0" xfId="0" applyFont="1"/>
    <xf numFmtId="0" fontId="25" fillId="0" borderId="0" xfId="0" applyFont="1"/>
    <xf numFmtId="0" fontId="26" fillId="0" borderId="0" xfId="0" applyFont="1" applyAlignment="1">
      <alignment horizontal="center" vertical="center" wrapText="1"/>
    </xf>
    <xf numFmtId="0" fontId="1" fillId="14" borderId="1" xfId="0" applyFont="1" applyFill="1" applyBorder="1" applyAlignment="1">
      <alignment vertical="center" wrapText="1"/>
    </xf>
    <xf numFmtId="0" fontId="0" fillId="14" borderId="1" xfId="0" applyFill="1" applyBorder="1" applyAlignment="1">
      <alignment vertical="center" wrapText="1"/>
    </xf>
    <xf numFmtId="164" fontId="5" fillId="14" borderId="1" xfId="0" applyNumberFormat="1" applyFont="1" applyFill="1" applyBorder="1" applyAlignment="1">
      <alignment vertical="center" wrapText="1"/>
    </xf>
    <xf numFmtId="0" fontId="5" fillId="14" borderId="1" xfId="0" applyFont="1" applyFill="1" applyBorder="1" applyAlignment="1">
      <alignment vertical="center" wrapText="1"/>
    </xf>
    <xf numFmtId="165" fontId="5" fillId="14" borderId="1" xfId="0" applyNumberFormat="1" applyFont="1" applyFill="1" applyBorder="1" applyAlignment="1">
      <alignment horizontal="center" vertical="center" wrapText="1"/>
    </xf>
    <xf numFmtId="0" fontId="21" fillId="0" borderId="0" xfId="0" applyFont="1" applyAlignment="1">
      <alignment vertical="top" wrapText="1"/>
    </xf>
    <xf numFmtId="0" fontId="20" fillId="0" borderId="0" xfId="0" applyFont="1" applyAlignment="1">
      <alignment horizontal="left" vertical="center"/>
    </xf>
    <xf numFmtId="0" fontId="22" fillId="3" borderId="10" xfId="0" applyFont="1" applyFill="1" applyBorder="1" applyAlignment="1">
      <alignment vertical="center" wrapText="1"/>
    </xf>
    <xf numFmtId="0" fontId="22" fillId="0" borderId="1" xfId="0" applyFont="1" applyBorder="1" applyAlignment="1">
      <alignment vertical="top"/>
    </xf>
    <xf numFmtId="0" fontId="22" fillId="7" borderId="1" xfId="0" applyFont="1" applyFill="1" applyBorder="1" applyAlignment="1">
      <alignment vertical="center" wrapText="1"/>
    </xf>
    <xf numFmtId="0" fontId="21" fillId="7" borderId="1" xfId="0" applyFont="1" applyFill="1" applyBorder="1" applyAlignment="1">
      <alignment vertical="center" wrapText="1"/>
    </xf>
    <xf numFmtId="164" fontId="27" fillId="7" borderId="1" xfId="0" applyNumberFormat="1" applyFont="1" applyFill="1" applyBorder="1" applyAlignment="1">
      <alignment vertical="center" wrapText="1"/>
    </xf>
    <xf numFmtId="0" fontId="22" fillId="6" borderId="0" xfId="0" applyFont="1" applyFill="1" applyAlignment="1">
      <alignment horizontal="center" vertical="center"/>
    </xf>
    <xf numFmtId="0" fontId="22" fillId="6" borderId="0" xfId="0" applyFont="1" applyFill="1" applyAlignment="1">
      <alignment vertical="center" wrapText="1"/>
    </xf>
    <xf numFmtId="0" fontId="21" fillId="6" borderId="0" xfId="0" applyFont="1" applyFill="1" applyAlignment="1">
      <alignment vertical="center" wrapText="1"/>
    </xf>
    <xf numFmtId="0" fontId="27" fillId="6" borderId="0" xfId="0" applyFont="1" applyFill="1" applyAlignment="1">
      <alignment vertical="center" wrapText="1"/>
    </xf>
    <xf numFmtId="164" fontId="27" fillId="6" borderId="0" xfId="0" applyNumberFormat="1" applyFont="1" applyFill="1" applyAlignment="1">
      <alignment vertical="center" wrapText="1"/>
    </xf>
    <xf numFmtId="0" fontId="22" fillId="6" borderId="0" xfId="0" applyFont="1" applyFill="1" applyAlignment="1">
      <alignment vertical="top" wrapText="1"/>
    </xf>
    <xf numFmtId="0" fontId="22" fillId="6" borderId="0" xfId="0" applyFont="1" applyFill="1"/>
    <xf numFmtId="0" fontId="22" fillId="0" borderId="0" xfId="0" applyFont="1" applyAlignment="1">
      <alignment horizontal="center" vertical="center"/>
    </xf>
    <xf numFmtId="0" fontId="22" fillId="0" borderId="0" xfId="0" applyFont="1" applyAlignment="1">
      <alignment vertical="center" wrapText="1"/>
    </xf>
    <xf numFmtId="0" fontId="2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top" wrapText="1"/>
    </xf>
    <xf numFmtId="1" fontId="21" fillId="0" borderId="0" xfId="0" applyNumberFormat="1" applyFont="1" applyAlignment="1">
      <alignment vertical="top" wrapText="1"/>
    </xf>
    <xf numFmtId="164" fontId="27" fillId="0" borderId="0" xfId="0" applyNumberFormat="1" applyFont="1" applyAlignment="1">
      <alignment vertical="center" wrapText="1"/>
    </xf>
    <xf numFmtId="0" fontId="31" fillId="0" borderId="0" xfId="0" applyFont="1" applyAlignment="1">
      <alignment horizontal="left" vertical="center" wrapText="1"/>
    </xf>
    <xf numFmtId="1" fontId="22" fillId="0" borderId="0" xfId="0" applyNumberFormat="1" applyFont="1" applyAlignment="1">
      <alignment wrapText="1"/>
    </xf>
    <xf numFmtId="164" fontId="29" fillId="0" borderId="0" xfId="0" applyNumberFormat="1" applyFont="1" applyAlignment="1">
      <alignment vertical="center" wrapText="1"/>
    </xf>
    <xf numFmtId="0" fontId="22" fillId="14" borderId="0" xfId="0" applyFont="1" applyFill="1" applyAlignment="1">
      <alignment horizontal="center" vertical="center"/>
    </xf>
    <xf numFmtId="0" fontId="22" fillId="14" borderId="0" xfId="0" applyFont="1" applyFill="1" applyAlignment="1">
      <alignment vertical="center" wrapText="1"/>
    </xf>
    <xf numFmtId="0" fontId="21" fillId="14" borderId="0" xfId="0" applyFont="1" applyFill="1" applyAlignment="1">
      <alignment vertical="center" wrapText="1"/>
    </xf>
    <xf numFmtId="0" fontId="29" fillId="14" borderId="0" xfId="0" applyFont="1" applyFill="1" applyAlignment="1">
      <alignment vertical="center" wrapText="1"/>
    </xf>
    <xf numFmtId="164" fontId="27" fillId="14" borderId="0" xfId="0" applyNumberFormat="1" applyFont="1" applyFill="1" applyAlignment="1">
      <alignment vertical="center" wrapText="1"/>
    </xf>
    <xf numFmtId="0" fontId="21" fillId="14" borderId="0" xfId="0" applyFont="1" applyFill="1" applyAlignment="1">
      <alignment vertical="top" wrapText="1"/>
    </xf>
    <xf numFmtId="0" fontId="21" fillId="14" borderId="0" xfId="0" applyFont="1" applyFill="1"/>
    <xf numFmtId="0" fontId="29" fillId="3" borderId="10" xfId="0" applyFont="1" applyFill="1" applyBorder="1" applyAlignment="1">
      <alignment horizontal="center" vertical="center" wrapText="1"/>
    </xf>
    <xf numFmtId="164" fontId="29" fillId="3" borderId="10" xfId="0" applyNumberFormat="1" applyFont="1" applyFill="1" applyBorder="1" applyAlignment="1">
      <alignment horizontal="center" vertical="center" wrapText="1"/>
    </xf>
    <xf numFmtId="164" fontId="27" fillId="3" borderId="10" xfId="0" applyNumberFormat="1" applyFont="1" applyFill="1" applyBorder="1" applyAlignment="1">
      <alignment horizontal="center" vertical="center" wrapText="1"/>
    </xf>
    <xf numFmtId="0" fontId="4" fillId="15" borderId="1" xfId="4" applyFont="1" applyFill="1" applyBorder="1" applyAlignment="1">
      <alignment horizontal="center" vertical="center" wrapText="1"/>
    </xf>
    <xf numFmtId="0" fontId="7" fillId="0" borderId="0" xfId="0" applyFont="1" applyAlignment="1">
      <alignment vertical="top" wrapText="1"/>
    </xf>
    <xf numFmtId="0" fontId="11" fillId="0" borderId="0" xfId="0" applyFont="1" applyAlignment="1">
      <alignment horizontal="left" vertical="center" wrapText="1" indent="5"/>
    </xf>
    <xf numFmtId="0" fontId="16" fillId="0" borderId="0" xfId="0" applyFont="1" applyAlignment="1">
      <alignment horizontal="left" vertical="center" wrapText="1" indent="5"/>
    </xf>
    <xf numFmtId="0" fontId="15" fillId="0" borderId="0" xfId="0" applyFont="1" applyAlignment="1">
      <alignment vertical="top" wrapText="1"/>
    </xf>
    <xf numFmtId="0" fontId="5" fillId="0" borderId="0" xfId="0" applyFont="1" applyAlignment="1">
      <alignment horizontal="left" vertical="center" wrapText="1"/>
    </xf>
    <xf numFmtId="0" fontId="1" fillId="3" borderId="1" xfId="0" applyFont="1" applyFill="1" applyBorder="1" applyAlignment="1">
      <alignment horizontal="left" vertical="center" wrapText="1"/>
    </xf>
    <xf numFmtId="0" fontId="0" fillId="3" borderId="1" xfId="0" applyFill="1" applyBorder="1" applyAlignment="1">
      <alignment vertical="top" wrapText="1"/>
    </xf>
    <xf numFmtId="0" fontId="26" fillId="0" borderId="0" xfId="0" applyFont="1" applyAlignment="1">
      <alignment horizontal="center" vertical="top" wrapText="1"/>
    </xf>
    <xf numFmtId="0" fontId="0" fillId="0" borderId="0" xfId="0" applyAlignment="1">
      <alignment horizontal="justify" vertical="top" wrapText="1"/>
    </xf>
    <xf numFmtId="0" fontId="22" fillId="11" borderId="15" xfId="0" applyFont="1" applyFill="1" applyBorder="1" applyAlignment="1">
      <alignment horizontal="center" vertical="center" wrapText="1"/>
    </xf>
    <xf numFmtId="0" fontId="26" fillId="0" borderId="0" xfId="0" applyFont="1" applyAlignment="1">
      <alignment vertical="top"/>
    </xf>
    <xf numFmtId="0" fontId="26" fillId="0" borderId="0" xfId="0" applyFont="1" applyAlignment="1">
      <alignment horizontal="center" vertical="top"/>
    </xf>
    <xf numFmtId="0" fontId="1" fillId="5" borderId="1" xfId="0" applyFont="1" applyFill="1" applyBorder="1" applyAlignment="1">
      <alignment vertical="top" wrapText="1"/>
    </xf>
    <xf numFmtId="0" fontId="0" fillId="0" borderId="0" xfId="0" applyAlignment="1">
      <alignment horizontal="left" vertical="center"/>
    </xf>
    <xf numFmtId="0" fontId="1" fillId="0" borderId="0" xfId="0" applyFont="1" applyAlignment="1">
      <alignment vertical="center"/>
    </xf>
    <xf numFmtId="0" fontId="1" fillId="0" borderId="1" xfId="0" applyFont="1" applyBorder="1" applyAlignment="1">
      <alignment horizontal="left" vertical="center"/>
    </xf>
    <xf numFmtId="0" fontId="4" fillId="0" borderId="18" xfId="0" applyFont="1" applyBorder="1" applyAlignment="1">
      <alignment vertical="top" wrapText="1"/>
    </xf>
    <xf numFmtId="0" fontId="21" fillId="0" borderId="1" xfId="0" applyFont="1" applyBorder="1" applyAlignment="1">
      <alignment vertical="center" wrapText="1"/>
    </xf>
    <xf numFmtId="0" fontId="29" fillId="0" borderId="1" xfId="0" applyFont="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horizontal="left" vertical="center"/>
    </xf>
    <xf numFmtId="0" fontId="0" fillId="0" borderId="1" xfId="0" applyBorder="1" applyAlignment="1">
      <alignment horizontal="left" vertical="center" wrapText="1"/>
    </xf>
    <xf numFmtId="0" fontId="26" fillId="0" borderId="0" xfId="0" applyFont="1" applyAlignment="1">
      <alignment horizontal="left" vertical="center" wrapText="1"/>
    </xf>
    <xf numFmtId="0" fontId="27"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29" fillId="0" borderId="1" xfId="0" quotePrefix="1" applyFont="1" applyBorder="1" applyAlignment="1">
      <alignment horizontal="center" vertical="center" wrapText="1"/>
    </xf>
    <xf numFmtId="0" fontId="21" fillId="0" borderId="1" xfId="0" applyFont="1" applyBorder="1" applyAlignment="1">
      <alignment horizontal="center" vertical="center" wrapText="1"/>
    </xf>
    <xf numFmtId="164" fontId="27" fillId="0" borderId="1" xfId="3" applyNumberFormat="1" applyFont="1" applyBorder="1" applyAlignment="1">
      <alignment vertical="center" wrapText="1"/>
    </xf>
    <xf numFmtId="0" fontId="28" fillId="0" borderId="1" xfId="0" applyFont="1" applyBorder="1" applyAlignment="1">
      <alignment vertical="center"/>
    </xf>
    <xf numFmtId="164" fontId="21" fillId="0" borderId="1" xfId="0" applyNumberFormat="1" applyFont="1" applyBorder="1" applyAlignment="1">
      <alignment vertical="center"/>
    </xf>
    <xf numFmtId="0" fontId="21" fillId="0" borderId="1" xfId="0" applyFont="1" applyBorder="1"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164" fontId="29" fillId="0" borderId="1" xfId="3" applyNumberFormat="1" applyFont="1" applyBorder="1" applyAlignment="1">
      <alignment horizontal="center" vertical="center" wrapText="1"/>
    </xf>
    <xf numFmtId="164" fontId="37" fillId="0" borderId="1" xfId="3" quotePrefix="1" applyNumberFormat="1" applyFont="1" applyBorder="1" applyAlignment="1">
      <alignment horizontal="center" vertical="center" wrapText="1"/>
    </xf>
    <xf numFmtId="43" fontId="29" fillId="0" borderId="1" xfId="3" applyFont="1" applyBorder="1" applyAlignment="1">
      <alignment vertical="center" wrapText="1"/>
    </xf>
    <xf numFmtId="43" fontId="21" fillId="0" borderId="1" xfId="0" applyNumberFormat="1" applyFont="1" applyBorder="1" applyAlignment="1">
      <alignment vertical="center" wrapText="1"/>
    </xf>
    <xf numFmtId="0" fontId="28" fillId="3" borderId="10" xfId="0" applyFont="1" applyFill="1" applyBorder="1" applyAlignment="1">
      <alignment vertical="center"/>
    </xf>
    <xf numFmtId="0" fontId="30" fillId="7" borderId="1" xfId="0" applyFont="1" applyFill="1" applyBorder="1" applyAlignment="1">
      <alignment vertical="center"/>
    </xf>
    <xf numFmtId="0" fontId="28" fillId="6" borderId="8" xfId="0" applyFont="1" applyFill="1" applyBorder="1" applyAlignment="1">
      <alignment vertical="center"/>
    </xf>
    <xf numFmtId="0" fontId="30" fillId="0" borderId="0" xfId="0" applyFont="1" applyAlignment="1">
      <alignment vertical="center"/>
    </xf>
    <xf numFmtId="0" fontId="30" fillId="14" borderId="0" xfId="0" applyFont="1" applyFill="1" applyAlignment="1">
      <alignment vertical="center"/>
    </xf>
    <xf numFmtId="0" fontId="7" fillId="0" borderId="0" xfId="0" applyFont="1" applyAlignment="1">
      <alignment vertical="center"/>
    </xf>
    <xf numFmtId="0" fontId="21" fillId="3" borderId="12" xfId="0" applyFont="1" applyFill="1" applyBorder="1" applyAlignment="1">
      <alignment horizontal="center" vertical="center" wrapText="1"/>
    </xf>
    <xf numFmtId="0" fontId="22" fillId="3" borderId="10" xfId="0" applyFont="1" applyFill="1" applyBorder="1" applyAlignment="1">
      <alignment horizontal="left" vertical="center"/>
    </xf>
    <xf numFmtId="164" fontId="2" fillId="0" borderId="0" xfId="3" applyNumberFormat="1" applyFont="1" applyAlignment="1">
      <alignment vertical="top" wrapText="1"/>
    </xf>
    <xf numFmtId="164" fontId="5" fillId="0" borderId="18" xfId="0" applyNumberFormat="1" applyFont="1" applyBorder="1" applyAlignment="1">
      <alignment vertical="center" wrapText="1"/>
    </xf>
    <xf numFmtId="0" fontId="0" fillId="0" borderId="1" xfId="0" applyBorder="1" applyAlignment="1">
      <alignment horizontal="center" vertical="center"/>
    </xf>
    <xf numFmtId="0" fontId="2" fillId="0" borderId="0" xfId="0" applyFont="1" applyAlignment="1">
      <alignment vertical="center"/>
    </xf>
    <xf numFmtId="43" fontId="0" fillId="0" borderId="0" xfId="3" applyFont="1" applyAlignment="1">
      <alignment horizontal="center" vertical="top" wrapText="1"/>
    </xf>
    <xf numFmtId="43" fontId="1" fillId="0" borderId="0" xfId="3" applyFont="1" applyAlignment="1">
      <alignment horizontal="center" wrapText="1"/>
    </xf>
    <xf numFmtId="43" fontId="5" fillId="0" borderId="1" xfId="3" applyFont="1" applyBorder="1" applyAlignment="1">
      <alignment horizontal="center" vertical="top" wrapText="1"/>
    </xf>
    <xf numFmtId="43" fontId="0" fillId="0" borderId="1" xfId="0" applyNumberFormat="1" applyBorder="1" applyAlignment="1">
      <alignment vertical="top"/>
    </xf>
    <xf numFmtId="0" fontId="11" fillId="0" borderId="0" xfId="0" applyFont="1" applyAlignment="1">
      <alignment horizontal="left" vertical="center" indent="5"/>
    </xf>
    <xf numFmtId="0" fontId="39" fillId="0" borderId="1" xfId="0" applyFont="1" applyBorder="1" applyAlignment="1">
      <alignment vertical="top" wrapText="1"/>
    </xf>
    <xf numFmtId="0" fontId="2" fillId="0" borderId="1" xfId="0" applyFont="1" applyBorder="1" applyAlignment="1">
      <alignment horizontal="justify" vertical="top"/>
    </xf>
    <xf numFmtId="43" fontId="5" fillId="7" borderId="1" xfId="0" applyNumberFormat="1" applyFont="1" applyFill="1" applyBorder="1" applyAlignment="1">
      <alignment horizontal="center" vertical="center" wrapText="1"/>
    </xf>
    <xf numFmtId="0" fontId="37" fillId="0" borderId="1" xfId="0" applyFont="1" applyBorder="1" applyAlignment="1">
      <alignment vertical="center" wrapText="1"/>
    </xf>
    <xf numFmtId="164" fontId="29" fillId="0" borderId="1" xfId="3" applyNumberFormat="1" applyFont="1" applyBorder="1" applyAlignment="1">
      <alignment vertical="center" wrapText="1"/>
    </xf>
    <xf numFmtId="164" fontId="0" fillId="0" borderId="1" xfId="0" applyNumberFormat="1" applyBorder="1" applyAlignment="1">
      <alignment vertical="center"/>
    </xf>
    <xf numFmtId="0" fontId="22" fillId="10" borderId="11" xfId="0" applyFont="1" applyFill="1" applyBorder="1" applyAlignment="1">
      <alignment horizontal="center" vertical="center" wrapText="1"/>
    </xf>
    <xf numFmtId="43" fontId="21" fillId="0" borderId="1" xfId="0" applyNumberFormat="1" applyFont="1" applyBorder="1" applyAlignment="1">
      <alignment vertical="center"/>
    </xf>
    <xf numFmtId="164" fontId="29" fillId="0" borderId="1" xfId="3" quotePrefix="1" applyNumberFormat="1" applyFont="1" applyBorder="1" applyAlignment="1">
      <alignment horizontal="center" vertical="center" wrapText="1"/>
    </xf>
    <xf numFmtId="0" fontId="29" fillId="0" borderId="1" xfId="0" applyFont="1" applyBorder="1" applyAlignment="1">
      <alignment vertical="center"/>
    </xf>
    <xf numFmtId="1" fontId="29" fillId="0" borderId="1" xfId="0" applyNumberFormat="1" applyFont="1" applyBorder="1" applyAlignment="1">
      <alignment vertical="center"/>
    </xf>
    <xf numFmtId="0" fontId="29" fillId="0" borderId="1" xfId="0" applyFont="1" applyBorder="1" applyAlignment="1">
      <alignment vertical="center" wrapText="1"/>
    </xf>
    <xf numFmtId="0" fontId="22" fillId="0" borderId="2" xfId="0" applyFont="1" applyBorder="1" applyAlignment="1">
      <alignment horizontal="center" vertical="center"/>
    </xf>
    <xf numFmtId="0" fontId="1" fillId="7" borderId="1" xfId="0" applyFont="1" applyFill="1" applyBorder="1" applyAlignment="1">
      <alignment horizontal="center" vertical="center" wrapText="1"/>
    </xf>
    <xf numFmtId="0" fontId="0" fillId="0" borderId="1" xfId="0" applyBorder="1" applyAlignment="1">
      <alignment horizontal="center" vertical="center" wrapText="1"/>
    </xf>
    <xf numFmtId="43" fontId="27" fillId="7" borderId="1" xfId="0" applyNumberFormat="1" applyFont="1" applyFill="1" applyBorder="1" applyAlignment="1">
      <alignment vertical="center" wrapText="1"/>
    </xf>
    <xf numFmtId="43" fontId="29" fillId="0" borderId="1" xfId="0" quotePrefix="1" applyNumberFormat="1" applyFont="1" applyBorder="1" applyAlignment="1">
      <alignment horizontal="center" vertical="center" wrapText="1"/>
    </xf>
    <xf numFmtId="0" fontId="5" fillId="7" borderId="1"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vertical="top" wrapText="1"/>
    </xf>
    <xf numFmtId="164" fontId="37" fillId="0" borderId="1" xfId="0" applyNumberFormat="1" applyFont="1" applyBorder="1" applyAlignment="1">
      <alignment vertical="center"/>
    </xf>
    <xf numFmtId="165" fontId="5" fillId="0" borderId="1" xfId="3" applyNumberFormat="1"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wrapText="1"/>
    </xf>
    <xf numFmtId="164" fontId="5" fillId="0" borderId="1" xfId="3" applyNumberFormat="1" applyFont="1" applyBorder="1" applyAlignment="1">
      <alignment vertical="center" wrapText="1"/>
    </xf>
    <xf numFmtId="0" fontId="6" fillId="0" borderId="1" xfId="0" applyFont="1" applyBorder="1" applyAlignment="1">
      <alignment vertical="center"/>
    </xf>
    <xf numFmtId="164" fontId="0" fillId="0" borderId="1" xfId="3" applyNumberFormat="1" applyFont="1" applyBorder="1" applyAlignment="1">
      <alignment vertical="center" wrapText="1"/>
    </xf>
    <xf numFmtId="1" fontId="1" fillId="0" borderId="1" xfId="0" applyNumberFormat="1" applyFont="1" applyBorder="1" applyAlignment="1">
      <alignment horizontal="center" vertical="center" wrapText="1"/>
    </xf>
    <xf numFmtId="0" fontId="0" fillId="0" borderId="1" xfId="0" applyBorder="1" applyAlignment="1">
      <alignment vertical="center"/>
    </xf>
    <xf numFmtId="1" fontId="0" fillId="0" borderId="1" xfId="0" applyNumberFormat="1" applyBorder="1" applyAlignment="1">
      <alignment vertical="center"/>
    </xf>
    <xf numFmtId="164" fontId="1" fillId="0" borderId="1" xfId="0" applyNumberFormat="1" applyFont="1" applyBorder="1" applyAlignment="1">
      <alignment horizontal="center" vertical="center"/>
    </xf>
    <xf numFmtId="164" fontId="0" fillId="0" borderId="1" xfId="3" applyNumberFormat="1" applyFont="1" applyBorder="1" applyAlignment="1">
      <alignment vertical="center"/>
    </xf>
    <xf numFmtId="0" fontId="7" fillId="0" borderId="1" xfId="0" applyFont="1" applyBorder="1" applyAlignment="1">
      <alignment vertical="center" wrapText="1"/>
    </xf>
    <xf numFmtId="0" fontId="4" fillId="0" borderId="1" xfId="0" applyFont="1" applyBorder="1" applyAlignment="1">
      <alignment horizontal="justify" vertical="center"/>
    </xf>
    <xf numFmtId="1" fontId="5" fillId="0" borderId="1" xfId="0" applyNumberFormat="1" applyFont="1" applyBorder="1" applyAlignment="1">
      <alignment horizontal="center" vertical="center" wrapText="1"/>
    </xf>
    <xf numFmtId="164" fontId="0" fillId="0" borderId="5" xfId="3" applyNumberFormat="1" applyFont="1" applyBorder="1" applyAlignment="1">
      <alignment vertical="center"/>
    </xf>
    <xf numFmtId="1" fontId="5" fillId="0" borderId="0" xfId="0" applyNumberFormat="1" applyFont="1" applyAlignment="1">
      <alignment horizontal="center" vertical="center" wrapText="1"/>
    </xf>
    <xf numFmtId="164" fontId="0" fillId="0" borderId="0" xfId="0" applyNumberFormat="1" applyAlignment="1">
      <alignment vertical="center"/>
    </xf>
    <xf numFmtId="0" fontId="0" fillId="0" borderId="0" xfId="0" applyAlignment="1">
      <alignment vertical="center"/>
    </xf>
    <xf numFmtId="1" fontId="0" fillId="0" borderId="0" xfId="0" applyNumberFormat="1" applyAlignment="1">
      <alignment vertical="center"/>
    </xf>
    <xf numFmtId="164" fontId="1" fillId="0" borderId="0" xfId="0" applyNumberFormat="1" applyFont="1" applyAlignment="1">
      <alignment horizontal="center" vertical="center"/>
    </xf>
    <xf numFmtId="0" fontId="2" fillId="0" borderId="0" xfId="0" applyFont="1" applyAlignment="1">
      <alignment wrapText="1"/>
    </xf>
    <xf numFmtId="43" fontId="5" fillId="0" borderId="1" xfId="3" applyFont="1" applyBorder="1" applyAlignment="1">
      <alignment horizontal="center" vertical="center" wrapText="1"/>
    </xf>
    <xf numFmtId="0" fontId="4" fillId="0" borderId="5" xfId="0" applyFont="1" applyBorder="1" applyAlignment="1">
      <alignment vertical="center" wrapText="1"/>
    </xf>
    <xf numFmtId="1" fontId="1" fillId="0" borderId="6" xfId="0" applyNumberFormat="1" applyFont="1" applyBorder="1" applyAlignment="1">
      <alignment horizontal="center" vertical="center" wrapText="1"/>
    </xf>
    <xf numFmtId="164" fontId="0" fillId="0" borderId="6" xfId="0" applyNumberFormat="1" applyBorder="1" applyAlignment="1">
      <alignment vertical="center"/>
    </xf>
    <xf numFmtId="0" fontId="0" fillId="0" borderId="6" xfId="0" applyBorder="1" applyAlignment="1">
      <alignment vertical="center"/>
    </xf>
    <xf numFmtId="0" fontId="2" fillId="0" borderId="0" xfId="0" applyFont="1" applyAlignment="1">
      <alignment vertical="center" wrapText="1"/>
    </xf>
    <xf numFmtId="0" fontId="40" fillId="0" borderId="1" xfId="0" applyFont="1" applyBorder="1" applyAlignment="1">
      <alignment horizontal="justify" vertical="top"/>
    </xf>
    <xf numFmtId="0" fontId="22" fillId="0" borderId="1" xfId="0" applyFont="1" applyBorder="1" applyAlignment="1">
      <alignment vertical="center"/>
    </xf>
    <xf numFmtId="43" fontId="0" fillId="0" borderId="1" xfId="0" applyNumberFormat="1" applyBorder="1" applyAlignment="1">
      <alignment vertical="center"/>
    </xf>
    <xf numFmtId="0" fontId="2" fillId="0" borderId="1" xfId="0" applyFont="1" applyBorder="1" applyAlignment="1">
      <alignment horizontal="justify" vertical="center"/>
    </xf>
    <xf numFmtId="166" fontId="1" fillId="9" borderId="2" xfId="3" quotePrefix="1" applyNumberFormat="1" applyFont="1" applyFill="1" applyBorder="1" applyAlignment="1">
      <alignment horizontal="center" vertical="center"/>
    </xf>
    <xf numFmtId="164" fontId="5" fillId="7" borderId="0" xfId="0" applyNumberFormat="1" applyFont="1" applyFill="1" applyAlignment="1">
      <alignment vertical="center" wrapText="1"/>
    </xf>
    <xf numFmtId="0" fontId="1" fillId="10" borderId="0" xfId="0" applyFont="1" applyFill="1" applyAlignment="1">
      <alignment horizontal="center"/>
    </xf>
    <xf numFmtId="0" fontId="1" fillId="10" borderId="0" xfId="0" applyFont="1" applyFill="1"/>
    <xf numFmtId="0" fontId="41" fillId="0" borderId="1" xfId="0" applyFont="1" applyBorder="1" applyAlignment="1">
      <alignment horizontal="center" vertical="center" wrapText="1"/>
    </xf>
    <xf numFmtId="164" fontId="2" fillId="0" borderId="0" xfId="0" applyNumberFormat="1" applyFont="1" applyAlignment="1">
      <alignment vertical="center"/>
    </xf>
    <xf numFmtId="0" fontId="2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7" fillId="0" borderId="1" xfId="0" applyFont="1" applyBorder="1" applyAlignment="1">
      <alignment vertical="center" wrapText="1"/>
    </xf>
    <xf numFmtId="2" fontId="0" fillId="0" borderId="1" xfId="0" applyNumberFormat="1" applyBorder="1" applyAlignment="1">
      <alignment vertical="center"/>
    </xf>
    <xf numFmtId="0" fontId="21" fillId="0" borderId="1" xfId="0" applyFont="1" applyBorder="1" applyAlignment="1">
      <alignment vertical="top"/>
    </xf>
    <xf numFmtId="164" fontId="4" fillId="0" borderId="1" xfId="0" applyNumberFormat="1" applyFont="1" applyBorder="1" applyAlignment="1">
      <alignment vertical="center" wrapText="1"/>
    </xf>
    <xf numFmtId="43" fontId="5" fillId="0" borderId="1" xfId="0" applyNumberFormat="1" applyFont="1" applyBorder="1" applyAlignment="1">
      <alignment vertical="center" wrapText="1"/>
    </xf>
    <xf numFmtId="164" fontId="4" fillId="0" borderId="5" xfId="3" applyNumberFormat="1" applyFont="1" applyBorder="1" applyAlignment="1">
      <alignment vertical="center" wrapText="1"/>
    </xf>
    <xf numFmtId="164" fontId="4" fillId="0" borderId="1" xfId="3" applyNumberFormat="1" applyFont="1" applyBorder="1" applyAlignment="1">
      <alignment vertical="center" wrapText="1"/>
    </xf>
    <xf numFmtId="43" fontId="5" fillId="0" borderId="1" xfId="3" applyFont="1" applyBorder="1" applyAlignment="1">
      <alignment vertical="center" wrapText="1"/>
    </xf>
    <xf numFmtId="0" fontId="26" fillId="0" borderId="0" xfId="0" applyFont="1" applyAlignment="1">
      <alignment horizontal="center" vertical="center"/>
    </xf>
    <xf numFmtId="0" fontId="1" fillId="5" borderId="1" xfId="0" applyFont="1" applyFill="1" applyBorder="1" applyAlignment="1">
      <alignment horizontal="center" vertical="center"/>
    </xf>
    <xf numFmtId="0" fontId="0" fillId="0" borderId="16" xfId="0" applyBorder="1" applyAlignment="1">
      <alignment horizontal="center" vertical="center"/>
    </xf>
    <xf numFmtId="164" fontId="29" fillId="0" borderId="1" xfId="0" applyNumberFormat="1" applyFont="1" applyBorder="1" applyAlignment="1">
      <alignment vertical="center"/>
    </xf>
    <xf numFmtId="0" fontId="1" fillId="0" borderId="5" xfId="0" applyFont="1" applyBorder="1" applyAlignment="1">
      <alignment vertical="center" wrapText="1"/>
    </xf>
    <xf numFmtId="0" fontId="5" fillId="5" borderId="2" xfId="0" applyFont="1" applyFill="1" applyBorder="1" applyAlignment="1">
      <alignment horizontal="center" vertical="center" wrapText="1"/>
    </xf>
    <xf numFmtId="166" fontId="1" fillId="9" borderId="2" xfId="3" applyNumberFormat="1" applyFont="1" applyFill="1" applyBorder="1" applyAlignment="1">
      <alignment horizontal="center" vertical="center"/>
    </xf>
    <xf numFmtId="166" fontId="1" fillId="9" borderId="7" xfId="3" applyNumberFormat="1" applyFont="1" applyFill="1" applyBorder="1" applyAlignment="1">
      <alignment horizontal="center" vertical="center"/>
    </xf>
    <xf numFmtId="166" fontId="5" fillId="9" borderId="6" xfId="3" applyNumberFormat="1" applyFont="1" applyFill="1" applyBorder="1" applyAlignment="1">
      <alignment horizontal="center" vertical="center" wrapText="1"/>
    </xf>
    <xf numFmtId="0" fontId="24" fillId="0" borderId="0" xfId="0" applyFont="1" applyAlignment="1">
      <alignment horizontal="left" vertical="center"/>
    </xf>
    <xf numFmtId="0" fontId="1" fillId="11" borderId="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5" fillId="7" borderId="0" xfId="0" applyFont="1" applyFill="1"/>
    <xf numFmtId="167" fontId="5" fillId="7" borderId="0" xfId="0" applyNumberFormat="1" applyFont="1" applyFill="1"/>
    <xf numFmtId="0" fontId="1" fillId="7" borderId="0" xfId="0" applyFont="1" applyFill="1" applyAlignment="1">
      <alignment horizontal="center" wrapText="1"/>
    </xf>
    <xf numFmtId="0" fontId="5" fillId="3" borderId="2" xfId="0" applyFont="1" applyFill="1" applyBorder="1" applyAlignment="1">
      <alignment horizontal="center" vertical="center" wrapText="1"/>
    </xf>
    <xf numFmtId="2" fontId="5" fillId="9" borderId="2" xfId="3" applyNumberFormat="1" applyFont="1" applyFill="1" applyBorder="1" applyAlignment="1">
      <alignment horizontal="center" vertical="center" wrapText="1"/>
    </xf>
    <xf numFmtId="43" fontId="5" fillId="3" borderId="1" xfId="3" applyFont="1" applyFill="1" applyBorder="1" applyAlignment="1">
      <alignment vertical="center" wrapText="1"/>
    </xf>
    <xf numFmtId="0" fontId="5"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7" xfId="0" applyFont="1" applyBorder="1" applyAlignment="1">
      <alignment vertical="center" wrapText="1"/>
    </xf>
    <xf numFmtId="0" fontId="0" fillId="0" borderId="17" xfId="0" applyBorder="1" applyAlignment="1">
      <alignment vertical="center" wrapText="1"/>
    </xf>
    <xf numFmtId="166" fontId="5" fillId="3" borderId="1" xfId="3"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65" fontId="1" fillId="7" borderId="1" xfId="3"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top"/>
    </xf>
    <xf numFmtId="0" fontId="4" fillId="0" borderId="0" xfId="0" applyFont="1"/>
    <xf numFmtId="0" fontId="24" fillId="0" borderId="0" xfId="0" applyFont="1"/>
    <xf numFmtId="43" fontId="27" fillId="6" borderId="0" xfId="0" applyNumberFormat="1" applyFont="1" applyFill="1" applyAlignment="1">
      <alignment vertical="center" wrapText="1"/>
    </xf>
    <xf numFmtId="43" fontId="1" fillId="17" borderId="28" xfId="0" applyNumberFormat="1" applyFont="1" applyFill="1" applyBorder="1" applyAlignment="1">
      <alignment horizontal="center" vertical="center"/>
    </xf>
    <xf numFmtId="43" fontId="1" fillId="17" borderId="29" xfId="0" applyNumberFormat="1" applyFont="1" applyFill="1" applyBorder="1" applyAlignment="1">
      <alignment horizontal="center" vertical="center"/>
    </xf>
    <xf numFmtId="43" fontId="5" fillId="17" borderId="28" xfId="0" applyNumberFormat="1" applyFont="1" applyFill="1" applyBorder="1" applyAlignment="1">
      <alignment horizontal="center" vertical="center" wrapText="1"/>
    </xf>
    <xf numFmtId="0" fontId="5" fillId="17" borderId="29" xfId="0" applyFont="1" applyFill="1" applyBorder="1" applyAlignment="1">
      <alignment horizontal="center" vertical="center" wrapText="1"/>
    </xf>
    <xf numFmtId="43" fontId="5" fillId="17" borderId="28" xfId="3" applyFont="1" applyFill="1" applyBorder="1" applyAlignment="1">
      <alignment horizontal="center" vertical="center" wrapText="1"/>
    </xf>
    <xf numFmtId="43" fontId="5" fillId="17" borderId="29" xfId="3"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5" xfId="0" applyFont="1" applyFill="1" applyBorder="1" applyAlignment="1">
      <alignment horizontal="center" vertical="center" wrapText="1"/>
    </xf>
    <xf numFmtId="43" fontId="27" fillId="17" borderId="2" xfId="0" applyNumberFormat="1" applyFont="1" applyFill="1" applyBorder="1" applyAlignment="1">
      <alignment horizontal="center" vertical="center" wrapText="1"/>
    </xf>
    <xf numFmtId="43" fontId="27" fillId="17" borderId="4" xfId="0" applyNumberFormat="1" applyFont="1" applyFill="1" applyBorder="1" applyAlignment="1">
      <alignment horizontal="center" vertical="center" wrapText="1"/>
    </xf>
    <xf numFmtId="43" fontId="27" fillId="17" borderId="28" xfId="0" applyNumberFormat="1" applyFont="1" applyFill="1" applyBorder="1" applyAlignment="1">
      <alignment horizontal="center" vertical="center" wrapText="1"/>
    </xf>
    <xf numFmtId="43" fontId="27" fillId="17" borderId="29" xfId="0" applyNumberFormat="1" applyFont="1" applyFill="1" applyBorder="1" applyAlignment="1">
      <alignment horizontal="center" vertical="center" wrapText="1"/>
    </xf>
    <xf numFmtId="43" fontId="27" fillId="17" borderId="2" xfId="0" applyNumberFormat="1" applyFont="1" applyFill="1" applyBorder="1" applyAlignment="1">
      <alignment horizontal="right" vertical="center" wrapText="1"/>
    </xf>
    <xf numFmtId="43" fontId="27" fillId="17" borderId="4" xfId="0" applyNumberFormat="1" applyFont="1" applyFill="1" applyBorder="1" applyAlignment="1">
      <alignment horizontal="right" vertical="center" wrapText="1"/>
    </xf>
    <xf numFmtId="43" fontId="4" fillId="0" borderId="1" xfId="3" applyFont="1" applyBorder="1" applyAlignment="1">
      <alignment vertical="center" wrapText="1"/>
    </xf>
    <xf numFmtId="43" fontId="5" fillId="17" borderId="30" xfId="3" applyFont="1" applyFill="1" applyBorder="1" applyAlignment="1">
      <alignment horizontal="center" vertical="center" wrapText="1"/>
    </xf>
    <xf numFmtId="43" fontId="4" fillId="0" borderId="5" xfId="3" applyFont="1" applyBorder="1" applyAlignment="1">
      <alignment vertical="center" wrapText="1"/>
    </xf>
    <xf numFmtId="43" fontId="5" fillId="17" borderId="30" xfId="0" applyNumberFormat="1" applyFont="1" applyFill="1" applyBorder="1" applyAlignment="1">
      <alignment horizontal="center" vertical="center" wrapText="1"/>
    </xf>
    <xf numFmtId="43" fontId="4" fillId="0" borderId="5" xfId="3" applyFont="1" applyBorder="1" applyAlignment="1">
      <alignment horizontal="center" vertical="center" wrapText="1"/>
    </xf>
    <xf numFmtId="43" fontId="4" fillId="0" borderId="1" xfId="3" applyFont="1" applyBorder="1" applyAlignment="1">
      <alignment horizontal="center" vertical="center" wrapText="1"/>
    </xf>
    <xf numFmtId="43" fontId="4" fillId="0" borderId="1" xfId="0" quotePrefix="1" applyNumberFormat="1" applyFont="1" applyBorder="1" applyAlignment="1">
      <alignment horizontal="center" vertical="center" wrapText="1"/>
    </xf>
    <xf numFmtId="0" fontId="10" fillId="0" borderId="1" xfId="0" applyFont="1" applyBorder="1" applyAlignment="1">
      <alignment horizontal="right" vertical="center"/>
    </xf>
    <xf numFmtId="0" fontId="10" fillId="0" borderId="0" xfId="0" applyFont="1" applyAlignment="1">
      <alignment vertical="top"/>
    </xf>
    <xf numFmtId="2" fontId="10" fillId="0" borderId="1" xfId="0" applyNumberFormat="1" applyFont="1" applyBorder="1" applyAlignment="1">
      <alignment horizontal="right" vertical="center"/>
    </xf>
    <xf numFmtId="43" fontId="1" fillId="17" borderId="30" xfId="0" applyNumberFormat="1" applyFont="1" applyFill="1" applyBorder="1" applyAlignment="1">
      <alignment horizontal="center" vertical="center"/>
    </xf>
    <xf numFmtId="0" fontId="0" fillId="0" borderId="5" xfId="0" applyBorder="1" applyAlignment="1">
      <alignment vertical="top"/>
    </xf>
    <xf numFmtId="0" fontId="42" fillId="0" borderId="1" xfId="0" applyFont="1" applyBorder="1" applyAlignment="1">
      <alignment vertical="center" wrapText="1"/>
    </xf>
    <xf numFmtId="164" fontId="42" fillId="0" borderId="1" xfId="3" applyNumberFormat="1" applyFont="1" applyBorder="1" applyAlignment="1">
      <alignment vertical="center" wrapText="1"/>
    </xf>
    <xf numFmtId="164" fontId="42" fillId="0" borderId="1" xfId="3" quotePrefix="1" applyNumberFormat="1" applyFont="1" applyBorder="1" applyAlignment="1">
      <alignment horizontal="center" vertical="center" wrapText="1"/>
    </xf>
    <xf numFmtId="43" fontId="19" fillId="0" borderId="1" xfId="0" applyNumberFormat="1" applyFont="1" applyBorder="1" applyAlignment="1">
      <alignment vertical="center" wrapText="1"/>
    </xf>
    <xf numFmtId="43" fontId="42" fillId="0" borderId="1" xfId="0" quotePrefix="1" applyNumberFormat="1" applyFont="1" applyBorder="1" applyAlignment="1">
      <alignment horizontal="center" vertical="center" wrapText="1"/>
    </xf>
    <xf numFmtId="43" fontId="27" fillId="17" borderId="30" xfId="0" applyNumberFormat="1" applyFont="1" applyFill="1" applyBorder="1" applyAlignment="1">
      <alignment horizontal="center" vertical="center" wrapText="1"/>
    </xf>
    <xf numFmtId="43" fontId="27" fillId="17" borderId="30" xfId="0" applyNumberFormat="1" applyFont="1" applyFill="1" applyBorder="1" applyAlignment="1">
      <alignment horizontal="right" vertical="center" wrapText="1"/>
    </xf>
    <xf numFmtId="0" fontId="1" fillId="0" borderId="6" xfId="0" applyFont="1" applyBorder="1" applyAlignment="1">
      <alignment horizontal="left" vertical="center"/>
    </xf>
    <xf numFmtId="0" fontId="27" fillId="0" borderId="6" xfId="0" applyFont="1" applyBorder="1" applyAlignment="1">
      <alignment horizontal="center" vertical="center" wrapText="1"/>
    </xf>
    <xf numFmtId="0" fontId="22" fillId="0" borderId="6" xfId="0" applyFont="1" applyBorder="1" applyAlignment="1">
      <alignment vertical="center" wrapText="1"/>
    </xf>
    <xf numFmtId="0" fontId="29" fillId="0" borderId="6" xfId="0" applyFont="1" applyBorder="1" applyAlignment="1">
      <alignment vertical="center" wrapText="1"/>
    </xf>
    <xf numFmtId="0" fontId="1" fillId="0" borderId="5" xfId="0" applyFont="1" applyBorder="1" applyAlignment="1">
      <alignment horizontal="left" vertical="center"/>
    </xf>
    <xf numFmtId="0" fontId="5" fillId="0" borderId="5" xfId="0" applyFont="1" applyBorder="1" applyAlignment="1">
      <alignment horizontal="center" vertical="center" wrapText="1"/>
    </xf>
    <xf numFmtId="0" fontId="27" fillId="17" borderId="8" xfId="0" applyFont="1" applyFill="1" applyBorder="1" applyAlignment="1">
      <alignment vertical="center" wrapText="1"/>
    </xf>
    <xf numFmtId="0" fontId="27" fillId="17" borderId="20" xfId="0" applyFont="1" applyFill="1" applyBorder="1" applyAlignment="1">
      <alignment vertical="center" wrapText="1"/>
    </xf>
    <xf numFmtId="43" fontId="5" fillId="17" borderId="1" xfId="0" applyNumberFormat="1" applyFont="1" applyFill="1" applyBorder="1" applyAlignment="1">
      <alignment horizontal="center" vertical="center" wrapText="1"/>
    </xf>
    <xf numFmtId="43" fontId="5" fillId="5" borderId="1" xfId="0" applyNumberFormat="1" applyFont="1" applyFill="1" applyBorder="1" applyAlignment="1">
      <alignment horizontal="center" vertical="center" wrapText="1"/>
    </xf>
    <xf numFmtId="0" fontId="2" fillId="18" borderId="0" xfId="0" applyFont="1" applyFill="1" applyAlignment="1">
      <alignment vertical="center" wrapText="1"/>
    </xf>
    <xf numFmtId="0" fontId="4" fillId="18" borderId="0" xfId="0" applyFont="1" applyFill="1" applyAlignment="1">
      <alignment vertical="center" wrapText="1"/>
    </xf>
    <xf numFmtId="0" fontId="4" fillId="18" borderId="0" xfId="0" applyFont="1" applyFill="1" applyAlignment="1">
      <alignment horizontal="center" vertical="top" wrapText="1"/>
    </xf>
    <xf numFmtId="1" fontId="1" fillId="18" borderId="0" xfId="0" applyNumberFormat="1" applyFont="1" applyFill="1" applyAlignment="1">
      <alignment wrapText="1"/>
    </xf>
    <xf numFmtId="2" fontId="1" fillId="18" borderId="0" xfId="0" applyNumberFormat="1" applyFont="1" applyFill="1" applyAlignment="1">
      <alignment wrapText="1"/>
    </xf>
    <xf numFmtId="164" fontId="1" fillId="0" borderId="0" xfId="3" applyNumberFormat="1" applyFont="1" applyAlignment="1">
      <alignment wrapText="1"/>
    </xf>
    <xf numFmtId="164" fontId="4" fillId="18" borderId="0" xfId="0" applyNumberFormat="1" applyFont="1" applyFill="1" applyAlignment="1">
      <alignment vertical="center" wrapText="1"/>
    </xf>
    <xf numFmtId="164" fontId="5" fillId="18" borderId="0" xfId="0" applyNumberFormat="1" applyFont="1" applyFill="1" applyAlignment="1">
      <alignment vertical="center" wrapText="1"/>
    </xf>
    <xf numFmtId="43" fontId="5" fillId="18" borderId="0" xfId="0" applyNumberFormat="1" applyFont="1" applyFill="1" applyAlignment="1">
      <alignment vertical="center" wrapText="1"/>
    </xf>
    <xf numFmtId="43" fontId="12" fillId="18" borderId="0" xfId="0" applyNumberFormat="1" applyFont="1" applyFill="1" applyAlignment="1">
      <alignment vertical="center" wrapText="1"/>
    </xf>
    <xf numFmtId="43" fontId="4" fillId="0" borderId="0" xfId="0" applyNumberFormat="1" applyFont="1" applyAlignment="1">
      <alignment vertical="center" wrapText="1"/>
    </xf>
    <xf numFmtId="164" fontId="5" fillId="0" borderId="3" xfId="3" applyNumberFormat="1" applyFont="1" applyBorder="1" applyAlignment="1">
      <alignment vertical="center" wrapText="1"/>
    </xf>
    <xf numFmtId="164" fontId="5" fillId="0" borderId="0" xfId="3" applyNumberFormat="1" applyFont="1" applyAlignment="1">
      <alignment vertical="center" wrapText="1"/>
    </xf>
    <xf numFmtId="164" fontId="0" fillId="0" borderId="0" xfId="3" applyNumberFormat="1" applyFont="1" applyAlignment="1">
      <alignment vertical="center" wrapText="1"/>
    </xf>
    <xf numFmtId="1" fontId="1" fillId="0" borderId="0" xfId="0" applyNumberFormat="1" applyFont="1" applyAlignment="1">
      <alignment horizontal="center" vertical="center" wrapText="1"/>
    </xf>
    <xf numFmtId="0" fontId="7" fillId="0" borderId="1" xfId="0" applyFont="1" applyBorder="1"/>
    <xf numFmtId="164" fontId="5" fillId="0" borderId="20" xfId="3" applyNumberFormat="1" applyFont="1" applyBorder="1" applyAlignment="1">
      <alignment vertical="center" wrapText="1"/>
    </xf>
    <xf numFmtId="164" fontId="0" fillId="0" borderId="6" xfId="3" applyNumberFormat="1" applyFont="1" applyBorder="1" applyAlignment="1">
      <alignment vertical="center" wrapText="1"/>
    </xf>
    <xf numFmtId="0" fontId="14" fillId="0" borderId="3" xfId="0" applyFont="1" applyBorder="1" applyAlignment="1">
      <alignment horizontal="center" vertical="center" wrapText="1"/>
    </xf>
    <xf numFmtId="0" fontId="4" fillId="7" borderId="3" xfId="0" applyFont="1" applyFill="1" applyBorder="1" applyAlignment="1">
      <alignment horizontal="center" vertical="top" wrapText="1"/>
    </xf>
    <xf numFmtId="43" fontId="0" fillId="0" borderId="0" xfId="0" applyNumberFormat="1"/>
    <xf numFmtId="43" fontId="0" fillId="0" borderId="0" xfId="0" applyNumberFormat="1" applyAlignment="1">
      <alignment horizontal="center" vertical="center"/>
    </xf>
    <xf numFmtId="0" fontId="17" fillId="7" borderId="21"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164" fontId="5" fillId="3" borderId="25" xfId="0" applyNumberFormat="1" applyFont="1" applyFill="1" applyBorder="1" applyAlignment="1">
      <alignment horizontal="center" vertical="center" wrapText="1"/>
    </xf>
    <xf numFmtId="164" fontId="5" fillId="3" borderId="26"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5" fillId="8" borderId="10" xfId="4" applyFont="1" applyFill="1" applyBorder="1" applyAlignment="1">
      <alignment horizontal="center" vertical="center" wrapText="1"/>
    </xf>
    <xf numFmtId="0" fontId="5" fillId="15" borderId="10" xfId="4" applyFont="1"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6" fillId="3" borderId="27" xfId="0" applyFont="1" applyFill="1" applyBorder="1" applyAlignment="1">
      <alignment horizontal="center"/>
    </xf>
    <xf numFmtId="0" fontId="6" fillId="3" borderId="13" xfId="0" applyFont="1" applyFill="1" applyBorder="1" applyAlignment="1">
      <alignment horizontal="center"/>
    </xf>
    <xf numFmtId="164" fontId="1" fillId="11" borderId="15" xfId="3" applyNumberFormat="1" applyFont="1" applyFill="1" applyBorder="1" applyAlignment="1">
      <alignment horizontal="center" vertical="center" wrapText="1"/>
    </xf>
    <xf numFmtId="164" fontId="1" fillId="11" borderId="5" xfId="3" applyNumberFormat="1"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22" fillId="5" borderId="1" xfId="0" applyFont="1" applyFill="1" applyBorder="1" applyAlignment="1">
      <alignment horizontal="right" vertical="center" wrapText="1"/>
    </xf>
    <xf numFmtId="43" fontId="5" fillId="5" borderId="2" xfId="0" applyNumberFormat="1" applyFont="1" applyFill="1" applyBorder="1" applyAlignment="1">
      <alignment horizontal="center" vertical="center" wrapText="1"/>
    </xf>
    <xf numFmtId="43" fontId="5" fillId="5" borderId="4" xfId="0" applyNumberFormat="1" applyFont="1" applyFill="1" applyBorder="1" applyAlignment="1">
      <alignment horizontal="center" vertical="center" wrapText="1"/>
    </xf>
    <xf numFmtId="43" fontId="5" fillId="5" borderId="3" xfId="0" applyNumberFormat="1"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14" xfId="0" applyFont="1" applyFill="1" applyBorder="1" applyAlignment="1">
      <alignment horizontal="center" vertical="center"/>
    </xf>
    <xf numFmtId="0" fontId="1" fillId="10" borderId="24" xfId="0" applyFont="1" applyFill="1" applyBorder="1" applyAlignment="1">
      <alignment horizontal="center" vertical="center"/>
    </xf>
    <xf numFmtId="0" fontId="27" fillId="17" borderId="2" xfId="0" applyFont="1" applyFill="1" applyBorder="1" applyAlignment="1">
      <alignment horizontal="right" vertical="center" wrapText="1"/>
    </xf>
    <xf numFmtId="0" fontId="27" fillId="17" borderId="4" xfId="0" applyFont="1" applyFill="1" applyBorder="1" applyAlignment="1">
      <alignment horizontal="right" vertical="center" wrapText="1"/>
    </xf>
    <xf numFmtId="0" fontId="27" fillId="17" borderId="3" xfId="0" applyFont="1" applyFill="1" applyBorder="1" applyAlignment="1">
      <alignment horizontal="right" vertical="center" wrapText="1"/>
    </xf>
    <xf numFmtId="0" fontId="22" fillId="17" borderId="2" xfId="0" applyFont="1" applyFill="1" applyBorder="1" applyAlignment="1">
      <alignment horizontal="right" vertical="center" wrapText="1"/>
    </xf>
    <xf numFmtId="0" fontId="22" fillId="17" borderId="4" xfId="0" applyFont="1" applyFill="1" applyBorder="1" applyAlignment="1">
      <alignment horizontal="right" vertical="center" wrapText="1"/>
    </xf>
    <xf numFmtId="0" fontId="22" fillId="17" borderId="3" xfId="0" applyFont="1" applyFill="1" applyBorder="1" applyAlignment="1">
      <alignment horizontal="right" vertical="center" wrapText="1"/>
    </xf>
    <xf numFmtId="0" fontId="22" fillId="17" borderId="2" xfId="0" applyFont="1" applyFill="1" applyBorder="1" applyAlignment="1">
      <alignment horizontal="right" vertical="center"/>
    </xf>
    <xf numFmtId="0" fontId="22" fillId="17" borderId="4" xfId="0" applyFont="1" applyFill="1" applyBorder="1" applyAlignment="1">
      <alignment horizontal="right" vertical="center"/>
    </xf>
    <xf numFmtId="0" fontId="22" fillId="17" borderId="3" xfId="0" applyFont="1" applyFill="1" applyBorder="1" applyAlignment="1">
      <alignment horizontal="right" vertical="center"/>
    </xf>
    <xf numFmtId="0" fontId="27" fillId="17" borderId="1" xfId="0" applyFont="1" applyFill="1" applyBorder="1" applyAlignment="1">
      <alignment horizontal="right" vertical="center" wrapText="1"/>
    </xf>
    <xf numFmtId="0" fontId="17" fillId="7"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6" fillId="3" borderId="1" xfId="0" applyFont="1" applyFill="1" applyBorder="1" applyAlignment="1">
      <alignment horizontal="center"/>
    </xf>
    <xf numFmtId="0" fontId="5" fillId="13" borderId="27" xfId="0" applyFont="1" applyFill="1" applyBorder="1" applyAlignment="1">
      <alignment horizontal="center" vertical="center" wrapText="1"/>
    </xf>
    <xf numFmtId="0" fontId="5" fillId="13" borderId="13" xfId="0" applyFont="1" applyFill="1" applyBorder="1" applyAlignment="1">
      <alignment horizontal="center" vertical="center" wrapText="1"/>
    </xf>
    <xf numFmtId="0" fontId="22" fillId="16" borderId="1" xfId="0" applyFont="1" applyFill="1" applyBorder="1" applyAlignment="1">
      <alignment horizontal="right" vertical="center" wrapText="1"/>
    </xf>
    <xf numFmtId="43" fontId="27" fillId="16" borderId="1" xfId="3" applyFont="1" applyFill="1" applyBorder="1" applyAlignment="1">
      <alignment horizontal="center" vertical="center" wrapText="1"/>
    </xf>
    <xf numFmtId="0" fontId="22" fillId="7" borderId="2" xfId="0" applyFont="1" applyFill="1" applyBorder="1" applyAlignment="1">
      <alignment horizontal="right" vertical="center" wrapText="1"/>
    </xf>
    <xf numFmtId="0" fontId="22" fillId="7" borderId="4" xfId="0" applyFont="1" applyFill="1" applyBorder="1" applyAlignment="1">
      <alignment horizontal="right" vertical="center" wrapText="1"/>
    </xf>
    <xf numFmtId="0" fontId="22" fillId="7" borderId="3" xfId="0" applyFont="1" applyFill="1" applyBorder="1" applyAlignment="1">
      <alignment horizontal="right" vertical="center" wrapText="1"/>
    </xf>
    <xf numFmtId="43" fontId="27" fillId="7" borderId="1" xfId="0" applyNumberFormat="1" applyFont="1" applyFill="1" applyBorder="1" applyAlignment="1">
      <alignment horizontal="center" vertical="center" wrapText="1"/>
    </xf>
    <xf numFmtId="43" fontId="27" fillId="16" borderId="1" xfId="0" applyNumberFormat="1" applyFont="1" applyFill="1" applyBorder="1" applyAlignment="1">
      <alignment horizontal="center" vertical="center" wrapText="1"/>
    </xf>
    <xf numFmtId="0" fontId="27" fillId="16" borderId="1" xfId="0" applyFont="1" applyFill="1" applyBorder="1" applyAlignment="1">
      <alignment horizontal="center" vertical="center" wrapText="1"/>
    </xf>
    <xf numFmtId="0" fontId="22" fillId="16" borderId="2" xfId="0" applyFont="1" applyFill="1" applyBorder="1" applyAlignment="1">
      <alignment horizontal="right" vertical="center" wrapText="1"/>
    </xf>
    <xf numFmtId="0" fontId="22" fillId="16" borderId="4" xfId="0" applyFont="1" applyFill="1" applyBorder="1" applyAlignment="1">
      <alignment horizontal="right" vertical="center" wrapText="1"/>
    </xf>
    <xf numFmtId="0" fontId="22" fillId="16" borderId="3" xfId="0" applyFont="1" applyFill="1" applyBorder="1" applyAlignment="1">
      <alignment horizontal="right" vertical="center" wrapText="1"/>
    </xf>
    <xf numFmtId="0" fontId="33" fillId="0" borderId="23" xfId="0" applyFont="1" applyBorder="1" applyAlignment="1">
      <alignment horizontal="left" vertical="center" wrapText="1"/>
    </xf>
    <xf numFmtId="0" fontId="33" fillId="0" borderId="21" xfId="0" applyFont="1" applyBorder="1" applyAlignment="1">
      <alignment horizontal="left" vertical="center" wrapText="1"/>
    </xf>
    <xf numFmtId="164" fontId="35" fillId="0" borderId="0" xfId="3" applyNumberFormat="1" applyFont="1" applyAlignment="1">
      <alignment horizontal="left" vertical="top" wrapText="1"/>
    </xf>
    <xf numFmtId="164" fontId="36" fillId="0" borderId="0" xfId="3" applyNumberFormat="1" applyFont="1" applyAlignment="1">
      <alignment horizontal="left" vertical="top" wrapText="1"/>
    </xf>
    <xf numFmtId="0" fontId="1" fillId="7" borderId="0" xfId="0" applyFont="1" applyFill="1" applyAlignment="1">
      <alignment horizontal="center" wrapText="1"/>
    </xf>
    <xf numFmtId="0" fontId="24" fillId="0" borderId="0" xfId="0" applyFont="1" applyAlignment="1">
      <alignment horizontal="left" vertical="center"/>
    </xf>
    <xf numFmtId="0" fontId="20" fillId="0" borderId="0" xfId="0" applyFont="1" applyAlignment="1">
      <alignment horizontal="center" vertical="center"/>
    </xf>
    <xf numFmtId="0" fontId="27" fillId="8" borderId="10" xfId="4" applyFont="1" applyFill="1" applyBorder="1" applyAlignment="1">
      <alignment horizontal="center" vertical="center" wrapText="1"/>
    </xf>
    <xf numFmtId="0" fontId="27" fillId="15" borderId="10" xfId="4" applyFont="1" applyFill="1" applyBorder="1" applyAlignment="1">
      <alignment horizontal="center" vertical="center"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5" fillId="15" borderId="1" xfId="4"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5" fillId="8" borderId="1" xfId="4" applyFont="1" applyFill="1" applyBorder="1" applyAlignment="1">
      <alignment horizontal="center" vertical="center" wrapText="1"/>
    </xf>
    <xf numFmtId="0" fontId="1" fillId="3" borderId="1" xfId="0" applyFont="1" applyFill="1" applyBorder="1" applyAlignment="1">
      <alignment horizontal="left" vertical="center"/>
    </xf>
    <xf numFmtId="0" fontId="24" fillId="0" borderId="31" xfId="0" applyFont="1" applyBorder="1" applyAlignment="1">
      <alignment horizontal="left" vertical="center"/>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3" borderId="3" xfId="0" applyFont="1" applyFill="1" applyBorder="1" applyAlignment="1">
      <alignment horizontal="left" vertical="center"/>
    </xf>
    <xf numFmtId="166" fontId="5" fillId="9" borderId="1" xfId="3"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5" borderId="2" xfId="2" applyFont="1" applyFill="1" applyBorder="1" applyAlignment="1">
      <alignment horizontal="left" vertical="center"/>
    </xf>
    <xf numFmtId="0" fontId="8" fillId="5" borderId="4" xfId="2" applyFont="1" applyFill="1" applyBorder="1" applyAlignment="1">
      <alignment horizontal="left" vertical="center"/>
    </xf>
    <xf numFmtId="0" fontId="8" fillId="5" borderId="3" xfId="2"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8" fillId="9" borderId="2" xfId="2" applyFont="1" applyFill="1" applyBorder="1" applyAlignment="1">
      <alignment horizontal="left" vertical="center"/>
    </xf>
    <xf numFmtId="0" fontId="8" fillId="9" borderId="4" xfId="2" applyFont="1" applyFill="1" applyBorder="1" applyAlignment="1">
      <alignment horizontal="left" vertical="center"/>
    </xf>
    <xf numFmtId="0" fontId="8" fillId="9" borderId="3" xfId="2" applyFont="1" applyFill="1" applyBorder="1" applyAlignment="1">
      <alignment horizontal="left" vertical="center"/>
    </xf>
  </cellXfs>
  <cellStyles count="5">
    <cellStyle name="Beregning" xfId="4" builtinId="22"/>
    <cellStyle name="Dårlig" xfId="2" builtinId="27"/>
    <cellStyle name="Komma" xfId="3" builtinId="3"/>
    <cellStyle name="Normal" xfId="0" builtinId="0"/>
    <cellStyle name="Normal 2" xfId="1" xr:uid="{00000000-0005-0000-0000-000003000000}"/>
  </cellStyles>
  <dxfs count="0"/>
  <tableStyles count="0" defaultTableStyle="TableStyleMedium2" defaultPivotStyle="PivotStyleLight16"/>
  <colors>
    <mruColors>
      <color rgb="FFEF91DD"/>
      <color rgb="FFF5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bikube/Oppdrag/627615/01/Dokumenter/Hovedplan%20vann,%20avl&#248;p,%20overvann/Vedlegg%20X%20-%20Handlingsplan%20investeringstiltak%20VAO%202023-2032%20-%20Kr&#248;dsherad%20kommune%20og%20N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ødsherad kommune"/>
      <sheetName val="NVA"/>
    </sheetNames>
    <sheetDataSet>
      <sheetData sheetId="0"/>
      <sheetData sheetId="1">
        <row r="4">
          <cell r="J4">
            <v>0.05</v>
          </cell>
        </row>
        <row r="5">
          <cell r="J5">
            <v>0.5</v>
          </cell>
        </row>
        <row r="7">
          <cell r="J7">
            <v>0.05</v>
          </cell>
        </row>
        <row r="8">
          <cell r="J8">
            <v>9</v>
          </cell>
        </row>
        <row r="9">
          <cell r="J9">
            <v>0.5</v>
          </cell>
        </row>
        <row r="10">
          <cell r="J10">
            <v>0.3</v>
          </cell>
        </row>
        <row r="11">
          <cell r="J11">
            <v>8</v>
          </cell>
        </row>
        <row r="13">
          <cell r="J13">
            <v>0.05</v>
          </cell>
        </row>
        <row r="15">
          <cell r="J15">
            <v>0.05</v>
          </cell>
        </row>
        <row r="17">
          <cell r="J17">
            <v>0.05</v>
          </cell>
        </row>
        <row r="19">
          <cell r="J19">
            <v>0.05</v>
          </cell>
        </row>
        <row r="20">
          <cell r="J20">
            <v>1</v>
          </cell>
        </row>
        <row r="22">
          <cell r="J22">
            <v>0.05</v>
          </cell>
        </row>
        <row r="23">
          <cell r="J23">
            <v>1</v>
          </cell>
        </row>
        <row r="25">
          <cell r="J25">
            <v>0.05</v>
          </cell>
        </row>
        <row r="26">
          <cell r="J26">
            <v>1</v>
          </cell>
        </row>
        <row r="28">
          <cell r="J28">
            <v>0.05</v>
          </cell>
        </row>
        <row r="30">
          <cell r="J30">
            <v>0.05</v>
          </cell>
        </row>
        <row r="32">
          <cell r="E32">
            <v>22.8</v>
          </cell>
        </row>
      </sheetData>
    </sheetDataSet>
  </externalBook>
</externalLink>
</file>

<file path=xl/persons/person.xml><?xml version="1.0" encoding="utf-8"?>
<personList xmlns="http://schemas.microsoft.com/office/spreadsheetml/2018/threadedcomments" xmlns:x="http://schemas.openxmlformats.org/spreadsheetml/2006/main">
  <person displayName="Lena Solli Sal" id="{84C865C7-3972-4CEF-BE6C-1B8BCBDDE01C}" userId="S::lena.sal@asplanviak.no::2b220c53-0aed-4c6c-b809-6137138c2f25"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2-04-27T11:50:08.98" personId="{84C865C7-3972-4CEF-BE6C-1B8BCBDDE01C}" id="{756F3AE6-46E7-4B90-81D7-5592DDC4A37D}">
    <text>Mer kritisk enn HB12. Taket er dårlig.</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2-04-27T10:13:19.00" personId="{84C865C7-3972-4CEF-BE6C-1B8BCBDDE01C}" id="{6B3A0FE6-03D0-42CD-BDB3-607EAE5762ED}">
    <text>Eventuelt gjennomsnittspris</text>
  </threadedComment>
  <threadedComment ref="T6" dT="2022-04-27T10:43:16.25" personId="{84C865C7-3972-4CEF-BE6C-1B8BCBDDE01C}" id="{794D2F3A-8E8B-4A60-B926-6FB31F459390}">
    <text>Se på prioriteringen opp mot diagnose for målene.</text>
  </threadedComment>
</ThreadedComments>
</file>

<file path=xl/threadedComments/threadedComment3.xml><?xml version="1.0" encoding="utf-8"?>
<ThreadedComments xmlns="http://schemas.microsoft.com/office/spreadsheetml/2018/threadedcomments" xmlns:x="http://schemas.openxmlformats.org/spreadsheetml/2006/main">
  <threadedComment ref="C19" dT="2022-04-27T11:50:08.98" personId="{84C865C7-3972-4CEF-BE6C-1B8BCBDDE01C}" id="{580EECAA-7ABC-4960-9CB0-888050405821}">
    <text>Mer kritisk enn HB12. Taket er dårlig.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57B3-BDDF-4599-A20A-CF384E5154D3}">
  <sheetPr>
    <pageSetUpPr fitToPage="1"/>
  </sheetPr>
  <dimension ref="A1:AB89"/>
  <sheetViews>
    <sheetView showGridLines="0" topLeftCell="A73" zoomScale="90" zoomScaleNormal="90" zoomScaleSheetLayoutView="90" workbookViewId="0">
      <pane xSplit="2" topLeftCell="C1" activePane="topRight" state="frozen"/>
      <selection activeCell="A10" sqref="A10"/>
      <selection pane="topRight" activeCell="J80" sqref="J80:L80"/>
    </sheetView>
  </sheetViews>
  <sheetFormatPr baseColWidth="10" defaultColWidth="11.44140625" defaultRowHeight="14.4" x14ac:dyDescent="0.3"/>
  <cols>
    <col min="1" max="1" width="6.33203125" style="178" customWidth="1"/>
    <col min="2" max="2" width="6.44140625" style="12" customWidth="1"/>
    <col min="3" max="3" width="26.44140625" style="1" customWidth="1"/>
    <col min="4" max="4" width="111.44140625" style="27" customWidth="1"/>
    <col min="5" max="6" width="9.33203125" style="14" customWidth="1"/>
    <col min="7" max="7" width="12.33203125" style="16" hidden="1" customWidth="1"/>
    <col min="8" max="8" width="12.33203125" style="16" customWidth="1"/>
    <col min="9" max="11" width="13.6640625" style="34" customWidth="1"/>
    <col min="12" max="12" width="15.5546875" style="34" customWidth="1"/>
    <col min="13" max="13" width="19.5546875" style="14" hidden="1" customWidth="1"/>
    <col min="14" max="14" width="17.33203125" style="5" hidden="1" customWidth="1"/>
    <col min="15" max="15" width="16.33203125" style="49" hidden="1" customWidth="1"/>
    <col min="16" max="16" width="15.109375" style="71" hidden="1" customWidth="1"/>
    <col min="17" max="17" width="21.88671875" style="44" hidden="1" customWidth="1"/>
    <col min="18" max="18" width="18.44140625" style="8" hidden="1" customWidth="1"/>
    <col min="19" max="19" width="18.33203125" style="61" hidden="1" customWidth="1"/>
    <col min="20" max="20" width="8.44140625" hidden="1" customWidth="1"/>
    <col min="21" max="21" width="10.109375" hidden="1" customWidth="1"/>
    <col min="22" max="22" width="8.33203125" hidden="1" customWidth="1"/>
    <col min="23" max="23" width="8.109375" hidden="1" customWidth="1"/>
    <col min="24" max="24" width="9.44140625" hidden="1" customWidth="1"/>
    <col min="25" max="25" width="7.33203125" hidden="1" customWidth="1"/>
    <col min="26" max="26" width="9" style="75" hidden="1" customWidth="1"/>
    <col min="27" max="27" width="0" style="75" hidden="1" customWidth="1"/>
    <col min="28" max="28" width="10.33203125" customWidth="1"/>
  </cols>
  <sheetData>
    <row r="1" spans="1:28" ht="31.5" customHeight="1" thickBot="1" x14ac:dyDescent="0.35">
      <c r="A1" s="393" t="s">
        <v>4</v>
      </c>
      <c r="B1" s="393"/>
      <c r="C1" s="393"/>
      <c r="D1" s="393"/>
      <c r="E1" s="393"/>
      <c r="F1" s="393"/>
      <c r="G1" s="393"/>
      <c r="H1" s="393"/>
      <c r="I1" s="393"/>
      <c r="J1" s="393"/>
      <c r="K1" s="393"/>
      <c r="L1" s="393"/>
      <c r="M1" s="393"/>
      <c r="N1" s="393"/>
      <c r="O1" s="57"/>
      <c r="V1" s="63" t="s">
        <v>5</v>
      </c>
      <c r="W1" s="63" t="s">
        <v>6</v>
      </c>
      <c r="X1" s="65">
        <v>0</v>
      </c>
    </row>
    <row r="2" spans="1:28" ht="60" customHeight="1" x14ac:dyDescent="0.3">
      <c r="A2" s="394" t="s">
        <v>7</v>
      </c>
      <c r="B2" s="394" t="s">
        <v>0</v>
      </c>
      <c r="C2" s="396" t="s">
        <v>1</v>
      </c>
      <c r="D2" s="396" t="s">
        <v>8</v>
      </c>
      <c r="E2" s="398" t="s">
        <v>9</v>
      </c>
      <c r="F2" s="404" t="s">
        <v>10</v>
      </c>
      <c r="G2" s="400" t="s">
        <v>11</v>
      </c>
      <c r="H2" s="404" t="s">
        <v>12</v>
      </c>
      <c r="I2" s="400" t="s">
        <v>13</v>
      </c>
      <c r="J2" s="402" t="s">
        <v>14</v>
      </c>
      <c r="K2" s="402" t="s">
        <v>15</v>
      </c>
      <c r="L2" s="402" t="s">
        <v>16</v>
      </c>
      <c r="M2" s="408" t="s">
        <v>17</v>
      </c>
      <c r="N2" s="410" t="s">
        <v>18</v>
      </c>
      <c r="O2" s="414" t="s">
        <v>19</v>
      </c>
      <c r="P2" s="412" t="s">
        <v>20</v>
      </c>
      <c r="Q2" s="334" t="s">
        <v>21</v>
      </c>
      <c r="R2" s="416" t="s">
        <v>22</v>
      </c>
      <c r="S2" s="81" t="s">
        <v>23</v>
      </c>
      <c r="T2" s="406" t="s">
        <v>24</v>
      </c>
      <c r="U2" s="406"/>
      <c r="V2" s="406"/>
      <c r="W2" s="407" t="s">
        <v>5</v>
      </c>
      <c r="X2" s="407"/>
      <c r="Y2" s="407"/>
      <c r="Z2" s="422" t="s">
        <v>2</v>
      </c>
      <c r="AA2" s="424" t="s">
        <v>3</v>
      </c>
    </row>
    <row r="3" spans="1:28" ht="31.5" customHeight="1" x14ac:dyDescent="0.3">
      <c r="A3" s="395"/>
      <c r="B3" s="395"/>
      <c r="C3" s="397"/>
      <c r="D3" s="397"/>
      <c r="E3" s="399"/>
      <c r="F3" s="405"/>
      <c r="G3" s="401"/>
      <c r="H3" s="405"/>
      <c r="I3" s="401"/>
      <c r="J3" s="403"/>
      <c r="K3" s="403"/>
      <c r="L3" s="403"/>
      <c r="M3" s="409"/>
      <c r="N3" s="411"/>
      <c r="O3" s="415"/>
      <c r="P3" s="413"/>
      <c r="Q3" s="335"/>
      <c r="R3" s="417"/>
      <c r="S3" s="64"/>
      <c r="T3" s="68" t="s">
        <v>25</v>
      </c>
      <c r="U3" s="68" t="s">
        <v>26</v>
      </c>
      <c r="V3" s="68" t="s">
        <v>27</v>
      </c>
      <c r="W3" s="69" t="s">
        <v>28</v>
      </c>
      <c r="X3" s="69" t="s">
        <v>29</v>
      </c>
      <c r="Y3" s="69" t="s">
        <v>30</v>
      </c>
      <c r="Z3" s="423"/>
      <c r="AA3" s="425"/>
    </row>
    <row r="4" spans="1:28" ht="59.25" customHeight="1" x14ac:dyDescent="0.3">
      <c r="A4" s="173">
        <v>2023</v>
      </c>
      <c r="B4" s="282" t="s">
        <v>31</v>
      </c>
      <c r="C4" s="286" t="s">
        <v>32</v>
      </c>
      <c r="D4" s="175" t="s">
        <v>33</v>
      </c>
      <c r="E4" s="241"/>
      <c r="F4" s="241"/>
      <c r="G4" s="292"/>
      <c r="H4" s="292"/>
      <c r="I4" s="342">
        <v>1</v>
      </c>
      <c r="J4" s="342">
        <f>I4</f>
        <v>1</v>
      </c>
      <c r="K4" s="289"/>
      <c r="L4" s="289"/>
      <c r="M4" s="342"/>
      <c r="N4" s="249"/>
      <c r="O4" s="248"/>
      <c r="P4" s="250"/>
      <c r="Q4" s="251"/>
      <c r="R4" s="105"/>
      <c r="S4" s="2"/>
      <c r="T4" s="190"/>
      <c r="U4" s="191"/>
      <c r="V4" s="227"/>
      <c r="W4" s="226"/>
      <c r="X4" s="226"/>
      <c r="Y4" s="226"/>
      <c r="Z4" s="224"/>
      <c r="AA4" s="106"/>
    </row>
    <row r="5" spans="1:28" ht="45" customHeight="1" x14ac:dyDescent="0.3">
      <c r="A5" s="173">
        <v>2023</v>
      </c>
      <c r="B5" s="282" t="s">
        <v>34</v>
      </c>
      <c r="C5" s="286" t="s">
        <v>35</v>
      </c>
      <c r="D5" s="228" t="s">
        <v>36</v>
      </c>
      <c r="E5" s="241"/>
      <c r="F5" s="241">
        <v>39</v>
      </c>
      <c r="G5" s="292"/>
      <c r="H5" s="342">
        <v>0.05</v>
      </c>
      <c r="I5" s="342">
        <f>H5*F5</f>
        <v>1.9500000000000002</v>
      </c>
      <c r="J5" s="342">
        <f>H5*3</f>
        <v>0.15000000000000002</v>
      </c>
      <c r="K5" s="289"/>
      <c r="L5" s="289"/>
      <c r="M5" s="342"/>
      <c r="N5" s="249"/>
      <c r="O5" s="248"/>
      <c r="P5" s="250"/>
      <c r="Q5" s="251"/>
      <c r="R5" s="105"/>
      <c r="S5" s="2"/>
      <c r="T5" s="190"/>
      <c r="U5" s="191"/>
      <c r="V5" s="227"/>
      <c r="W5" s="226"/>
      <c r="X5" s="226"/>
      <c r="Y5" s="226"/>
      <c r="Z5" s="224"/>
      <c r="AA5" s="106"/>
    </row>
    <row r="6" spans="1:28" ht="59.25" customHeight="1" x14ac:dyDescent="0.3">
      <c r="A6" s="173">
        <v>2023</v>
      </c>
      <c r="B6" s="282" t="s">
        <v>37</v>
      </c>
      <c r="C6" s="286" t="s">
        <v>38</v>
      </c>
      <c r="D6" s="228" t="s">
        <v>39</v>
      </c>
      <c r="E6" s="241"/>
      <c r="F6" s="241"/>
      <c r="G6" s="292"/>
      <c r="H6" s="292"/>
      <c r="I6" s="342">
        <v>8</v>
      </c>
      <c r="J6" s="342">
        <f>I6</f>
        <v>8</v>
      </c>
      <c r="K6" s="289"/>
      <c r="L6" s="289"/>
      <c r="M6" s="342"/>
      <c r="N6" s="249"/>
      <c r="O6" s="248"/>
      <c r="P6" s="250"/>
      <c r="Q6" s="251"/>
      <c r="R6" s="105"/>
      <c r="S6" s="2"/>
      <c r="T6" s="190"/>
      <c r="U6" s="191"/>
      <c r="V6" s="227"/>
      <c r="W6" s="226"/>
      <c r="X6" s="226"/>
      <c r="Y6" s="226"/>
      <c r="Z6" s="224"/>
      <c r="AA6" s="106"/>
    </row>
    <row r="7" spans="1:28" ht="39.75" customHeight="1" x14ac:dyDescent="0.3">
      <c r="A7" s="173">
        <v>2023</v>
      </c>
      <c r="B7" s="282" t="s">
        <v>40</v>
      </c>
      <c r="C7" s="286" t="s">
        <v>41</v>
      </c>
      <c r="D7" s="228" t="s">
        <v>42</v>
      </c>
      <c r="E7" s="241"/>
      <c r="F7" s="241"/>
      <c r="G7" s="292"/>
      <c r="H7" s="292"/>
      <c r="I7" s="342">
        <v>3</v>
      </c>
      <c r="J7" s="342">
        <f>I7</f>
        <v>3</v>
      </c>
      <c r="K7" s="289"/>
      <c r="L7" s="289"/>
      <c r="M7" s="342"/>
      <c r="N7" s="249"/>
      <c r="O7" s="248"/>
      <c r="P7" s="250"/>
      <c r="Q7" s="251"/>
      <c r="R7" s="105"/>
      <c r="S7" s="2"/>
      <c r="T7" s="190"/>
      <c r="U7" s="191"/>
      <c r="V7" s="227"/>
      <c r="W7" s="226"/>
      <c r="X7" s="226"/>
      <c r="Y7" s="226"/>
      <c r="Z7" s="224"/>
      <c r="AA7" s="106"/>
    </row>
    <row r="8" spans="1:28" ht="89.25" customHeight="1" x14ac:dyDescent="0.3">
      <c r="A8" s="173">
        <v>2023</v>
      </c>
      <c r="B8" s="282" t="s">
        <v>43</v>
      </c>
      <c r="C8" s="182" t="s">
        <v>44</v>
      </c>
      <c r="D8" s="235" t="s">
        <v>45</v>
      </c>
      <c r="E8" s="241"/>
      <c r="F8" s="241">
        <v>4</v>
      </c>
      <c r="G8" s="292"/>
      <c r="H8" s="292">
        <v>2000000</v>
      </c>
      <c r="I8" s="342">
        <f>F8*H8/1000000</f>
        <v>8</v>
      </c>
      <c r="J8" s="342"/>
      <c r="K8" s="342">
        <v>2</v>
      </c>
      <c r="L8" s="342"/>
      <c r="M8" s="342"/>
      <c r="N8" s="249"/>
      <c r="O8" s="248"/>
      <c r="P8" s="250"/>
      <c r="Q8" s="251"/>
      <c r="R8" s="105"/>
      <c r="S8" s="2"/>
      <c r="T8" s="190"/>
      <c r="U8" s="191"/>
      <c r="V8" s="227"/>
      <c r="W8" s="226"/>
      <c r="X8" s="226"/>
      <c r="Y8" s="226"/>
      <c r="Z8" s="224"/>
      <c r="AA8" s="106"/>
      <c r="AB8" s="265"/>
    </row>
    <row r="9" spans="1:28" ht="112.5" customHeight="1" x14ac:dyDescent="0.3">
      <c r="A9" s="173">
        <v>2023</v>
      </c>
      <c r="B9" s="282" t="s">
        <v>46</v>
      </c>
      <c r="C9" s="182" t="s">
        <v>47</v>
      </c>
      <c r="D9" s="235" t="s">
        <v>48</v>
      </c>
      <c r="E9" s="241">
        <v>3000</v>
      </c>
      <c r="F9" s="241"/>
      <c r="G9" s="292"/>
      <c r="H9" s="292">
        <v>4000</v>
      </c>
      <c r="I9" s="342">
        <f>H9*E9/1000000</f>
        <v>12</v>
      </c>
      <c r="J9" s="342"/>
      <c r="K9" s="342">
        <f>I9/10</f>
        <v>1.2</v>
      </c>
      <c r="L9" s="342"/>
      <c r="M9" s="342"/>
      <c r="N9" s="249"/>
      <c r="O9" s="248"/>
      <c r="P9" s="255"/>
      <c r="Q9" s="251"/>
      <c r="R9" s="105"/>
      <c r="S9" s="2"/>
      <c r="T9" s="222"/>
      <c r="U9" s="252"/>
      <c r="V9" s="253"/>
      <c r="W9" s="252"/>
      <c r="X9" s="252"/>
      <c r="Y9" s="252"/>
      <c r="Z9" s="254"/>
      <c r="AA9" s="106"/>
    </row>
    <row r="10" spans="1:28" ht="49.5" customHeight="1" x14ac:dyDescent="0.3">
      <c r="A10" s="173">
        <v>2023</v>
      </c>
      <c r="B10" s="282" t="s">
        <v>49</v>
      </c>
      <c r="C10" s="183" t="s">
        <v>50</v>
      </c>
      <c r="D10" s="228" t="s">
        <v>51</v>
      </c>
      <c r="E10" s="241"/>
      <c r="F10" s="241">
        <v>50</v>
      </c>
      <c r="G10" s="292"/>
      <c r="H10" s="292">
        <v>100000</v>
      </c>
      <c r="I10" s="342">
        <f>F10*H10/1000000</f>
        <v>5</v>
      </c>
      <c r="J10" s="342"/>
      <c r="K10" s="342">
        <f>I10/10</f>
        <v>0.5</v>
      </c>
      <c r="L10" s="342"/>
      <c r="M10" s="342"/>
      <c r="N10" s="256"/>
      <c r="O10" s="248"/>
      <c r="P10" s="255"/>
      <c r="Q10" s="251"/>
      <c r="R10" s="2"/>
      <c r="S10" s="2"/>
      <c r="T10" s="222"/>
      <c r="U10" s="252"/>
      <c r="V10" s="253"/>
      <c r="W10" s="252"/>
      <c r="X10" s="252"/>
      <c r="Y10" s="252"/>
      <c r="Z10" s="254"/>
      <c r="AA10" s="106"/>
    </row>
    <row r="11" spans="1:28" ht="40.5" customHeight="1" thickBot="1" x14ac:dyDescent="0.35">
      <c r="A11" s="426" t="s">
        <v>52</v>
      </c>
      <c r="B11" s="427"/>
      <c r="C11" s="427"/>
      <c r="D11" s="428"/>
      <c r="E11" s="332"/>
      <c r="F11" s="333"/>
      <c r="G11" s="333"/>
      <c r="H11" s="333"/>
      <c r="I11" s="333"/>
      <c r="J11" s="343">
        <f>SUM(J4:J7)</f>
        <v>12.15</v>
      </c>
      <c r="K11" s="343">
        <f>SUM(K8:K10)</f>
        <v>3.7</v>
      </c>
      <c r="L11" s="343">
        <f>SUM(L8:L10)</f>
        <v>0</v>
      </c>
      <c r="M11" s="342"/>
      <c r="N11" s="256"/>
      <c r="O11" s="248"/>
      <c r="P11" s="255"/>
      <c r="Q11" s="251"/>
      <c r="R11" s="2"/>
      <c r="S11" s="2"/>
      <c r="T11" s="222"/>
      <c r="U11" s="252"/>
      <c r="V11" s="253"/>
      <c r="W11" s="252"/>
      <c r="X11" s="252"/>
      <c r="Y11" s="252"/>
      <c r="Z11" s="254"/>
      <c r="AA11" s="106"/>
    </row>
    <row r="12" spans="1:28" ht="57" customHeight="1" thickTop="1" x14ac:dyDescent="0.3">
      <c r="A12" s="173">
        <v>2024</v>
      </c>
      <c r="B12" s="282" t="s">
        <v>34</v>
      </c>
      <c r="C12" s="286" t="s">
        <v>35</v>
      </c>
      <c r="D12" s="228" t="s">
        <v>53</v>
      </c>
      <c r="E12" s="241"/>
      <c r="F12" s="241">
        <v>39</v>
      </c>
      <c r="G12" s="292"/>
      <c r="H12" s="342">
        <v>0.05</v>
      </c>
      <c r="I12" s="342">
        <f>H12*F12</f>
        <v>1.9500000000000002</v>
      </c>
      <c r="J12" s="342">
        <f>H12*3</f>
        <v>0.15000000000000002</v>
      </c>
      <c r="K12" s="289"/>
      <c r="L12" s="289"/>
      <c r="M12" s="342"/>
      <c r="N12" s="249"/>
      <c r="O12" s="248"/>
      <c r="P12" s="250"/>
      <c r="Q12" s="251"/>
      <c r="R12" s="105"/>
      <c r="S12" s="2"/>
      <c r="T12" s="222"/>
      <c r="U12" s="252"/>
      <c r="V12" s="253"/>
      <c r="W12" s="252"/>
      <c r="X12" s="252"/>
      <c r="Y12" s="252"/>
      <c r="Z12" s="254"/>
      <c r="AA12" s="106"/>
    </row>
    <row r="13" spans="1:28" ht="39.75" customHeight="1" x14ac:dyDescent="0.3">
      <c r="A13" s="173">
        <v>2024</v>
      </c>
      <c r="B13" s="282" t="s">
        <v>54</v>
      </c>
      <c r="C13" s="286" t="s">
        <v>55</v>
      </c>
      <c r="D13" s="228" t="s">
        <v>56</v>
      </c>
      <c r="E13" s="267"/>
      <c r="F13" s="267"/>
      <c r="G13" s="291"/>
      <c r="H13" s="291"/>
      <c r="I13" s="344">
        <v>2</v>
      </c>
      <c r="J13" s="342">
        <f>I13</f>
        <v>2</v>
      </c>
      <c r="K13" s="342"/>
      <c r="L13" s="289"/>
      <c r="M13" s="342"/>
      <c r="N13" s="249"/>
      <c r="O13" s="248"/>
      <c r="P13" s="250"/>
      <c r="Q13" s="251"/>
      <c r="R13" s="105"/>
      <c r="S13" s="2"/>
      <c r="T13" s="222"/>
      <c r="U13" s="252"/>
      <c r="V13" s="253"/>
      <c r="W13" s="252"/>
      <c r="X13" s="252"/>
      <c r="Y13" s="252"/>
      <c r="Z13" s="254"/>
      <c r="AA13" s="106"/>
    </row>
    <row r="14" spans="1:28" ht="125.25" customHeight="1" x14ac:dyDescent="0.3">
      <c r="A14" s="173">
        <v>2024</v>
      </c>
      <c r="B14" s="282" t="s">
        <v>46</v>
      </c>
      <c r="C14" s="182" t="s">
        <v>47</v>
      </c>
      <c r="D14" s="235" t="s">
        <v>48</v>
      </c>
      <c r="E14" s="267">
        <v>3000</v>
      </c>
      <c r="F14" s="267"/>
      <c r="G14" s="291"/>
      <c r="H14" s="291">
        <v>4000</v>
      </c>
      <c r="I14" s="344">
        <f>H14*E14/1000000</f>
        <v>12</v>
      </c>
      <c r="J14" s="342"/>
      <c r="K14" s="342">
        <f>I14/10</f>
        <v>1.2</v>
      </c>
      <c r="L14" s="342"/>
      <c r="M14" s="342"/>
      <c r="N14" s="249"/>
      <c r="O14" s="248"/>
      <c r="P14" s="255"/>
      <c r="Q14" s="251"/>
      <c r="R14" s="105"/>
      <c r="S14" s="2"/>
      <c r="T14" s="222"/>
      <c r="U14" s="252"/>
      <c r="V14" s="253"/>
      <c r="W14" s="252"/>
      <c r="X14" s="252"/>
      <c r="Y14" s="252"/>
      <c r="Z14" s="254"/>
      <c r="AA14" s="106"/>
    </row>
    <row r="15" spans="1:28" ht="53.25" customHeight="1" x14ac:dyDescent="0.3">
      <c r="A15" s="173">
        <v>2024</v>
      </c>
      <c r="B15" s="282" t="s">
        <v>49</v>
      </c>
      <c r="C15" s="183" t="s">
        <v>50</v>
      </c>
      <c r="D15" s="228" t="s">
        <v>51</v>
      </c>
      <c r="E15" s="241"/>
      <c r="F15" s="241">
        <v>50</v>
      </c>
      <c r="G15" s="292"/>
      <c r="H15" s="292">
        <v>100000</v>
      </c>
      <c r="I15" s="342">
        <f>F15*H15/1000000</f>
        <v>5</v>
      </c>
      <c r="J15" s="342"/>
      <c r="K15" s="342">
        <f>I15/10</f>
        <v>0.5</v>
      </c>
      <c r="L15" s="342"/>
      <c r="M15" s="342"/>
      <c r="N15" s="256"/>
      <c r="O15" s="248"/>
      <c r="P15" s="255"/>
      <c r="Q15" s="251"/>
      <c r="R15" s="2"/>
      <c r="S15" s="2"/>
      <c r="T15" s="222"/>
      <c r="U15" s="252"/>
      <c r="V15" s="253"/>
      <c r="W15" s="252"/>
      <c r="X15" s="252"/>
      <c r="Y15" s="252"/>
      <c r="Z15" s="254"/>
      <c r="AA15" s="106"/>
    </row>
    <row r="16" spans="1:28" ht="39.75" customHeight="1" thickBot="1" x14ac:dyDescent="0.35">
      <c r="A16" s="426" t="s">
        <v>57</v>
      </c>
      <c r="B16" s="427"/>
      <c r="C16" s="427"/>
      <c r="D16" s="428"/>
      <c r="E16" s="330"/>
      <c r="F16" s="331"/>
      <c r="G16" s="331"/>
      <c r="H16" s="331"/>
      <c r="I16" s="331"/>
      <c r="J16" s="345">
        <f>J12+J13</f>
        <v>2.15</v>
      </c>
      <c r="K16" s="345">
        <f>K14+K15</f>
        <v>1.7</v>
      </c>
      <c r="L16" s="345">
        <v>0</v>
      </c>
      <c r="M16" s="342"/>
      <c r="N16" s="249"/>
      <c r="O16" s="248"/>
      <c r="P16" s="250"/>
      <c r="Q16" s="251"/>
      <c r="R16" s="105"/>
      <c r="S16" s="2"/>
      <c r="T16" s="222"/>
      <c r="U16" s="252"/>
      <c r="V16" s="253"/>
      <c r="W16" s="252"/>
      <c r="X16" s="252"/>
      <c r="Y16" s="252"/>
      <c r="Z16" s="254"/>
      <c r="AA16" s="106"/>
    </row>
    <row r="17" spans="1:27" ht="38.25" customHeight="1" thickTop="1" x14ac:dyDescent="0.3">
      <c r="A17" s="173">
        <v>2025</v>
      </c>
      <c r="B17" s="282" t="s">
        <v>58</v>
      </c>
      <c r="C17" s="286" t="s">
        <v>59</v>
      </c>
      <c r="D17" s="175" t="s">
        <v>60</v>
      </c>
      <c r="E17" s="346"/>
      <c r="F17" s="346"/>
      <c r="G17" s="346"/>
      <c r="H17" s="346"/>
      <c r="I17" s="346">
        <v>0.5</v>
      </c>
      <c r="J17" s="346">
        <f>I17</f>
        <v>0.5</v>
      </c>
      <c r="K17" s="346"/>
      <c r="L17" s="342"/>
      <c r="M17" s="342"/>
      <c r="N17" s="249"/>
      <c r="O17" s="248"/>
      <c r="P17" s="250"/>
      <c r="Q17" s="251"/>
      <c r="R17" s="105"/>
      <c r="S17" s="2"/>
      <c r="T17" s="222"/>
      <c r="U17" s="252"/>
      <c r="V17" s="253"/>
      <c r="W17" s="252"/>
      <c r="X17" s="252"/>
      <c r="Y17" s="252"/>
      <c r="Z17" s="254"/>
      <c r="AA17" s="106"/>
    </row>
    <row r="18" spans="1:27" ht="51" customHeight="1" x14ac:dyDescent="0.3">
      <c r="A18" s="173">
        <v>2025</v>
      </c>
      <c r="B18" s="282" t="s">
        <v>61</v>
      </c>
      <c r="C18" s="286" t="s">
        <v>62</v>
      </c>
      <c r="D18" s="175" t="s">
        <v>63</v>
      </c>
      <c r="E18" s="347">
        <v>1800</v>
      </c>
      <c r="F18" s="347">
        <v>1</v>
      </c>
      <c r="G18" s="347"/>
      <c r="H18" s="347">
        <v>3</v>
      </c>
      <c r="I18" s="347">
        <v>12</v>
      </c>
      <c r="J18" s="347">
        <f>I18</f>
        <v>12</v>
      </c>
      <c r="K18" s="347"/>
      <c r="L18" s="289"/>
      <c r="M18" s="342"/>
      <c r="N18" s="249"/>
      <c r="O18" s="248"/>
      <c r="P18" s="250"/>
      <c r="Q18" s="251"/>
      <c r="R18" s="105"/>
      <c r="S18" s="2"/>
      <c r="T18" s="222"/>
      <c r="U18" s="252"/>
      <c r="V18" s="253"/>
      <c r="W18" s="252"/>
      <c r="X18" s="252"/>
      <c r="Y18" s="252"/>
      <c r="Z18" s="254"/>
      <c r="AA18" s="106"/>
    </row>
    <row r="19" spans="1:27" ht="48" customHeight="1" x14ac:dyDescent="0.3">
      <c r="A19" s="173">
        <v>2025</v>
      </c>
      <c r="B19" s="282" t="s">
        <v>34</v>
      </c>
      <c r="C19" s="286" t="s">
        <v>35</v>
      </c>
      <c r="D19" s="228" t="s">
        <v>53</v>
      </c>
      <c r="E19" s="241"/>
      <c r="F19" s="241">
        <v>39</v>
      </c>
      <c r="G19" s="292"/>
      <c r="H19" s="342">
        <v>0.05</v>
      </c>
      <c r="I19" s="342">
        <f>H19*F19</f>
        <v>1.9500000000000002</v>
      </c>
      <c r="J19" s="342">
        <f>H19*3</f>
        <v>0.15000000000000002</v>
      </c>
      <c r="K19" s="289"/>
      <c r="L19" s="289"/>
      <c r="M19" s="342"/>
      <c r="N19" s="249"/>
      <c r="O19" s="248"/>
      <c r="P19" s="250"/>
      <c r="Q19" s="251"/>
      <c r="R19" s="105"/>
      <c r="S19" s="2"/>
      <c r="T19" s="222"/>
      <c r="U19" s="252"/>
      <c r="V19" s="253"/>
      <c r="W19" s="252"/>
      <c r="X19" s="252"/>
      <c r="Y19" s="252"/>
      <c r="Z19" s="254"/>
      <c r="AA19" s="106"/>
    </row>
    <row r="20" spans="1:27" ht="96" customHeight="1" x14ac:dyDescent="0.3">
      <c r="A20" s="173">
        <v>2025</v>
      </c>
      <c r="B20" s="282" t="s">
        <v>43</v>
      </c>
      <c r="C20" s="182" t="s">
        <v>44</v>
      </c>
      <c r="D20" s="235" t="s">
        <v>45</v>
      </c>
      <c r="E20" s="241"/>
      <c r="F20" s="241">
        <v>4</v>
      </c>
      <c r="G20" s="292"/>
      <c r="H20" s="292">
        <v>2000000</v>
      </c>
      <c r="I20" s="342">
        <f>F20*H20/1000000</f>
        <v>8</v>
      </c>
      <c r="J20" s="342"/>
      <c r="K20" s="342">
        <v>2</v>
      </c>
      <c r="L20" s="342"/>
      <c r="M20" s="342"/>
      <c r="N20" s="249"/>
      <c r="O20" s="248"/>
      <c r="P20" s="250"/>
      <c r="Q20" s="251"/>
      <c r="R20" s="105"/>
      <c r="S20" s="2"/>
      <c r="T20" s="222"/>
      <c r="U20" s="252"/>
      <c r="V20" s="253"/>
      <c r="W20" s="252"/>
      <c r="X20" s="252"/>
      <c r="Y20" s="252"/>
      <c r="Z20" s="254"/>
      <c r="AA20" s="106"/>
    </row>
    <row r="21" spans="1:27" ht="114" customHeight="1" x14ac:dyDescent="0.3">
      <c r="A21" s="173">
        <v>2025</v>
      </c>
      <c r="B21" s="282" t="s">
        <v>46</v>
      </c>
      <c r="C21" s="182" t="s">
        <v>47</v>
      </c>
      <c r="D21" s="235" t="s">
        <v>48</v>
      </c>
      <c r="E21" s="267">
        <v>3000</v>
      </c>
      <c r="F21" s="267"/>
      <c r="G21" s="291"/>
      <c r="H21" s="291">
        <v>4000</v>
      </c>
      <c r="I21" s="344">
        <f>H21*E21/1000000</f>
        <v>12</v>
      </c>
      <c r="J21" s="344"/>
      <c r="K21" s="344">
        <f>I21/10</f>
        <v>1.2</v>
      </c>
      <c r="L21" s="344"/>
      <c r="M21" s="342"/>
      <c r="N21" s="249"/>
      <c r="O21" s="248"/>
      <c r="P21" s="250"/>
      <c r="Q21" s="251"/>
      <c r="R21" s="105"/>
      <c r="S21" s="2"/>
      <c r="T21" s="222"/>
      <c r="U21" s="252"/>
      <c r="V21" s="253"/>
      <c r="W21" s="252"/>
      <c r="X21" s="252"/>
      <c r="Y21" s="252"/>
      <c r="Z21" s="254"/>
      <c r="AA21" s="106"/>
    </row>
    <row r="22" spans="1:27" ht="52.5" customHeight="1" x14ac:dyDescent="0.3">
      <c r="A22" s="173">
        <v>2025</v>
      </c>
      <c r="B22" s="282" t="s">
        <v>49</v>
      </c>
      <c r="C22" s="183" t="s">
        <v>50</v>
      </c>
      <c r="D22" s="228" t="s">
        <v>51</v>
      </c>
      <c r="E22" s="241"/>
      <c r="F22" s="241">
        <v>50</v>
      </c>
      <c r="G22" s="292"/>
      <c r="H22" s="292">
        <v>100000</v>
      </c>
      <c r="I22" s="342">
        <f>F22*H22/1000000</f>
        <v>5</v>
      </c>
      <c r="J22" s="342"/>
      <c r="K22" s="342">
        <f>I22/10</f>
        <v>0.5</v>
      </c>
      <c r="L22" s="342"/>
      <c r="M22" s="342"/>
      <c r="N22" s="249"/>
      <c r="O22" s="248"/>
      <c r="P22" s="250"/>
      <c r="Q22" s="251"/>
      <c r="R22" s="105"/>
      <c r="S22" s="2"/>
      <c r="T22" s="222"/>
      <c r="U22" s="252"/>
      <c r="V22" s="253"/>
      <c r="W22" s="252"/>
      <c r="X22" s="252"/>
      <c r="Y22" s="252"/>
      <c r="Z22" s="254"/>
      <c r="AA22" s="106"/>
    </row>
    <row r="23" spans="1:27" s="9" customFormat="1" ht="77.25" customHeight="1" x14ac:dyDescent="0.3">
      <c r="A23" s="173">
        <v>2025</v>
      </c>
      <c r="B23" s="283" t="s">
        <v>64</v>
      </c>
      <c r="C23" s="183" t="s">
        <v>65</v>
      </c>
      <c r="D23" s="228" t="s">
        <v>66</v>
      </c>
      <c r="E23" s="241"/>
      <c r="F23" s="241">
        <v>3</v>
      </c>
      <c r="G23" s="292"/>
      <c r="H23" s="292">
        <v>250000</v>
      </c>
      <c r="I23" s="342">
        <f>H23*F23/1000000</f>
        <v>0.75</v>
      </c>
      <c r="J23" s="342"/>
      <c r="K23" s="342">
        <f>I23</f>
        <v>0.75</v>
      </c>
      <c r="L23" s="342"/>
      <c r="M23" s="257"/>
      <c r="N23" s="256"/>
      <c r="O23" s="242"/>
      <c r="P23" s="255"/>
      <c r="Q23" s="258"/>
      <c r="R23" s="241"/>
      <c r="S23" s="231"/>
      <c r="T23" s="222"/>
      <c r="U23" s="252"/>
      <c r="V23" s="253"/>
      <c r="W23" s="252"/>
      <c r="X23" s="252"/>
      <c r="Y23" s="252"/>
      <c r="Z23" s="254"/>
      <c r="AA23" s="106"/>
    </row>
    <row r="24" spans="1:27" s="9" customFormat="1" ht="76.5" customHeight="1" x14ac:dyDescent="0.3">
      <c r="A24" s="173">
        <v>2025</v>
      </c>
      <c r="B24" s="106" t="s">
        <v>67</v>
      </c>
      <c r="C24" s="183" t="s">
        <v>68</v>
      </c>
      <c r="D24" s="175" t="s">
        <v>69</v>
      </c>
      <c r="E24" s="241"/>
      <c r="F24" s="241"/>
      <c r="G24" s="292"/>
      <c r="H24" s="292">
        <f>38000000+2850000+3200000</f>
        <v>44050000</v>
      </c>
      <c r="I24" s="342">
        <f>H24/1000000</f>
        <v>44.05</v>
      </c>
      <c r="J24" s="342"/>
      <c r="K24" s="342">
        <f>I24/3</f>
        <v>14.683333333333332</v>
      </c>
      <c r="L24" s="348"/>
      <c r="M24" s="257"/>
      <c r="N24" s="256"/>
      <c r="O24" s="242"/>
      <c r="P24" s="255"/>
      <c r="Q24" s="258"/>
      <c r="R24" s="241"/>
      <c r="S24" s="231"/>
      <c r="T24" s="222"/>
      <c r="U24" s="252"/>
      <c r="V24" s="253"/>
      <c r="W24" s="252"/>
      <c r="X24" s="252"/>
      <c r="Y24" s="252"/>
      <c r="Z24" s="254"/>
      <c r="AA24" s="106"/>
    </row>
    <row r="25" spans="1:27" s="9" customFormat="1" ht="79.5" customHeight="1" x14ac:dyDescent="0.3">
      <c r="A25" s="173">
        <v>2025</v>
      </c>
      <c r="B25" s="284" t="s">
        <v>70</v>
      </c>
      <c r="C25" s="182" t="s">
        <v>71</v>
      </c>
      <c r="D25" s="175" t="s">
        <v>72</v>
      </c>
      <c r="E25" s="349">
        <v>300</v>
      </c>
      <c r="F25" s="349"/>
      <c r="G25" s="349"/>
      <c r="H25" s="349">
        <v>2000</v>
      </c>
      <c r="I25" s="349">
        <f>H25*E25/1000000</f>
        <v>0.6</v>
      </c>
      <c r="J25" s="349"/>
      <c r="K25" s="350"/>
      <c r="L25" s="351">
        <f>I25</f>
        <v>0.6</v>
      </c>
      <c r="M25" s="241"/>
      <c r="N25" s="256"/>
      <c r="O25" s="52"/>
      <c r="P25" s="255"/>
      <c r="Q25" s="258"/>
      <c r="R25" s="241"/>
      <c r="S25" s="231"/>
      <c r="T25" s="222"/>
      <c r="U25" s="252"/>
      <c r="V25" s="253"/>
      <c r="W25" s="252"/>
      <c r="X25" s="252"/>
      <c r="Y25" s="252"/>
      <c r="Z25" s="254"/>
      <c r="AA25" s="106"/>
    </row>
    <row r="26" spans="1:27" s="9" customFormat="1" ht="41.25" customHeight="1" thickBot="1" x14ac:dyDescent="0.35">
      <c r="A26" s="429" t="s">
        <v>73</v>
      </c>
      <c r="B26" s="430"/>
      <c r="C26" s="430"/>
      <c r="D26" s="431"/>
      <c r="E26" s="328"/>
      <c r="F26" s="329"/>
      <c r="G26" s="329"/>
      <c r="H26" s="329"/>
      <c r="I26" s="329"/>
      <c r="J26" s="352">
        <f>J17+J18+J19</f>
        <v>12.65</v>
      </c>
      <c r="K26" s="352">
        <f>SUM(K20:K25)</f>
        <v>19.133333333333333</v>
      </c>
      <c r="L26" s="352">
        <f>L25</f>
        <v>0.6</v>
      </c>
      <c r="M26" s="241"/>
      <c r="N26" s="256"/>
      <c r="O26" s="52"/>
      <c r="P26" s="259"/>
      <c r="Q26" s="260"/>
      <c r="R26" s="14"/>
      <c r="S26" s="195"/>
      <c r="T26" s="222"/>
      <c r="U26" s="252"/>
      <c r="V26" s="253"/>
      <c r="W26" s="252"/>
      <c r="X26" s="252"/>
      <c r="Y26" s="252"/>
      <c r="Z26" s="254"/>
      <c r="AA26" s="106"/>
    </row>
    <row r="27" spans="1:27" s="9" customFormat="1" ht="71.25" customHeight="1" thickTop="1" x14ac:dyDescent="0.3">
      <c r="A27" s="173">
        <v>2026</v>
      </c>
      <c r="B27" s="282" t="s">
        <v>74</v>
      </c>
      <c r="C27" s="286" t="s">
        <v>75</v>
      </c>
      <c r="D27" s="175" t="s">
        <v>76</v>
      </c>
      <c r="E27" s="267">
        <v>1500</v>
      </c>
      <c r="F27" s="267"/>
      <c r="G27" s="291"/>
      <c r="H27" s="291"/>
      <c r="I27" s="344">
        <v>9</v>
      </c>
      <c r="J27" s="344">
        <f>I27/3</f>
        <v>3</v>
      </c>
      <c r="K27" s="344"/>
      <c r="L27" s="353"/>
      <c r="M27" s="241"/>
      <c r="N27" s="256"/>
      <c r="O27" s="52"/>
      <c r="P27" s="259"/>
      <c r="Q27" s="260"/>
      <c r="R27" s="14"/>
      <c r="S27" s="195"/>
      <c r="T27" s="281" t="s">
        <v>77</v>
      </c>
      <c r="U27" s="262"/>
      <c r="V27" s="263"/>
      <c r="W27" s="262"/>
      <c r="X27" s="262"/>
      <c r="Y27" s="262"/>
      <c r="Z27" s="264"/>
      <c r="AA27" s="12"/>
    </row>
    <row r="28" spans="1:27" s="9" customFormat="1" ht="50.25" customHeight="1" x14ac:dyDescent="0.3">
      <c r="A28" s="173">
        <v>2026</v>
      </c>
      <c r="B28" s="282" t="s">
        <v>78</v>
      </c>
      <c r="C28" s="286" t="s">
        <v>79</v>
      </c>
      <c r="D28" s="228" t="s">
        <v>80</v>
      </c>
      <c r="E28" s="267">
        <v>500</v>
      </c>
      <c r="F28" s="267"/>
      <c r="G28" s="291"/>
      <c r="H28" s="291"/>
      <c r="I28" s="344">
        <v>3</v>
      </c>
      <c r="J28" s="344">
        <f>I28</f>
        <v>3</v>
      </c>
      <c r="K28" s="344"/>
      <c r="L28" s="70"/>
      <c r="M28" s="241"/>
      <c r="N28" s="256"/>
      <c r="O28" s="52"/>
      <c r="P28" s="259"/>
      <c r="Q28" s="260"/>
      <c r="R28" s="14"/>
      <c r="S28" s="195"/>
      <c r="T28" s="261"/>
      <c r="U28" s="262"/>
      <c r="V28" s="263"/>
      <c r="W28" s="262"/>
      <c r="X28" s="262"/>
      <c r="Y28" s="262"/>
      <c r="Z28" s="264"/>
      <c r="AA28" s="12"/>
    </row>
    <row r="29" spans="1:27" s="9" customFormat="1" ht="50.25" customHeight="1" x14ac:dyDescent="0.3">
      <c r="A29" s="173">
        <v>2026</v>
      </c>
      <c r="B29" s="282" t="s">
        <v>34</v>
      </c>
      <c r="C29" s="286" t="s">
        <v>35</v>
      </c>
      <c r="D29" s="228" t="s">
        <v>53</v>
      </c>
      <c r="E29" s="241"/>
      <c r="F29" s="241">
        <v>39</v>
      </c>
      <c r="G29" s="292"/>
      <c r="H29" s="342">
        <v>0.05</v>
      </c>
      <c r="I29" s="342">
        <f>H29*F29</f>
        <v>1.9500000000000002</v>
      </c>
      <c r="J29" s="342">
        <f>H29*3</f>
        <v>0.15000000000000002</v>
      </c>
      <c r="K29" s="289"/>
      <c r="L29" s="289"/>
      <c r="M29" s="241"/>
      <c r="N29" s="256"/>
      <c r="O29" s="52"/>
      <c r="P29" s="259"/>
      <c r="Q29" s="260"/>
      <c r="R29" s="14"/>
      <c r="S29" s="195"/>
      <c r="T29" s="261"/>
      <c r="U29" s="262"/>
      <c r="V29" s="263"/>
      <c r="W29" s="262"/>
      <c r="X29" s="262"/>
      <c r="Y29" s="262"/>
      <c r="Z29" s="264"/>
      <c r="AA29" s="12"/>
    </row>
    <row r="30" spans="1:27" s="9" customFormat="1" ht="59.25" customHeight="1" x14ac:dyDescent="0.3">
      <c r="A30" s="173">
        <v>2026</v>
      </c>
      <c r="B30" s="282" t="s">
        <v>81</v>
      </c>
      <c r="C30" s="286" t="s">
        <v>82</v>
      </c>
      <c r="D30" s="228" t="s">
        <v>83</v>
      </c>
      <c r="E30" s="267"/>
      <c r="F30" s="267">
        <v>1</v>
      </c>
      <c r="G30" s="291"/>
      <c r="H30" s="291"/>
      <c r="I30" s="344">
        <v>0.2</v>
      </c>
      <c r="J30" s="344">
        <f>I30</f>
        <v>0.2</v>
      </c>
      <c r="K30" s="344"/>
      <c r="L30" s="70"/>
      <c r="M30" s="241"/>
      <c r="N30" s="256"/>
      <c r="O30" s="52"/>
      <c r="P30" s="259"/>
      <c r="Q30" s="260"/>
      <c r="R30" s="14"/>
      <c r="S30" s="195"/>
      <c r="T30" s="261"/>
      <c r="U30" s="262"/>
      <c r="V30" s="263"/>
      <c r="W30" s="262"/>
      <c r="X30" s="262"/>
      <c r="Y30" s="262"/>
      <c r="Z30" s="264"/>
      <c r="AA30" s="12"/>
    </row>
    <row r="31" spans="1:27" s="9" customFormat="1" ht="114" customHeight="1" x14ac:dyDescent="0.3">
      <c r="A31" s="173">
        <v>2026</v>
      </c>
      <c r="B31" s="282" t="s">
        <v>46</v>
      </c>
      <c r="C31" s="182" t="s">
        <v>47</v>
      </c>
      <c r="D31" s="235" t="s">
        <v>48</v>
      </c>
      <c r="E31" s="267">
        <v>3000</v>
      </c>
      <c r="F31" s="267"/>
      <c r="G31" s="291"/>
      <c r="H31" s="291">
        <v>4000</v>
      </c>
      <c r="I31" s="344">
        <f>H31*E31/1000000</f>
        <v>12</v>
      </c>
      <c r="J31" s="344"/>
      <c r="K31" s="344">
        <f>I31/10</f>
        <v>1.2</v>
      </c>
      <c r="L31" s="344"/>
      <c r="M31" s="241"/>
      <c r="N31" s="256"/>
      <c r="O31" s="52"/>
      <c r="P31" s="259"/>
      <c r="Q31" s="260"/>
      <c r="R31" s="14"/>
      <c r="S31" s="195"/>
      <c r="T31" s="261"/>
      <c r="U31" s="262"/>
      <c r="V31" s="263"/>
      <c r="W31" s="262"/>
      <c r="X31" s="262"/>
      <c r="Y31" s="262"/>
      <c r="Z31" s="264"/>
      <c r="AA31" s="12"/>
    </row>
    <row r="32" spans="1:27" s="9" customFormat="1" ht="51" customHeight="1" x14ac:dyDescent="0.3">
      <c r="A32" s="173">
        <v>2026</v>
      </c>
      <c r="B32" s="282" t="s">
        <v>49</v>
      </c>
      <c r="C32" s="183" t="s">
        <v>50</v>
      </c>
      <c r="D32" s="228" t="s">
        <v>51</v>
      </c>
      <c r="E32" s="241"/>
      <c r="F32" s="241">
        <v>50</v>
      </c>
      <c r="G32" s="292"/>
      <c r="H32" s="292">
        <v>100000</v>
      </c>
      <c r="I32" s="342">
        <f>F32*H32/1000000</f>
        <v>5</v>
      </c>
      <c r="J32" s="342"/>
      <c r="K32" s="342">
        <f>I32/10</f>
        <v>0.5</v>
      </c>
      <c r="L32" s="342"/>
      <c r="M32" s="241"/>
      <c r="N32" s="256"/>
      <c r="O32" s="52"/>
      <c r="P32" s="259"/>
      <c r="Q32" s="260"/>
      <c r="R32" s="14"/>
      <c r="S32" s="195"/>
      <c r="T32" s="261"/>
      <c r="U32" s="262"/>
      <c r="V32" s="263"/>
      <c r="W32" s="262"/>
      <c r="X32" s="262"/>
      <c r="Y32" s="262"/>
      <c r="Z32" s="264"/>
      <c r="AA32" s="12"/>
    </row>
    <row r="33" spans="1:27" s="9" customFormat="1" ht="78.75" customHeight="1" x14ac:dyDescent="0.3">
      <c r="A33" s="173">
        <v>2026</v>
      </c>
      <c r="B33" s="106" t="s">
        <v>67</v>
      </c>
      <c r="C33" s="183" t="s">
        <v>68</v>
      </c>
      <c r="D33" s="175" t="s">
        <v>84</v>
      </c>
      <c r="E33" s="241"/>
      <c r="F33" s="354"/>
      <c r="G33" s="355"/>
      <c r="H33" s="356">
        <f>38000000+2850000+3200000</f>
        <v>44050000</v>
      </c>
      <c r="I33" s="357">
        <f>H33/1000000</f>
        <v>44.05</v>
      </c>
      <c r="J33" s="357"/>
      <c r="K33" s="358">
        <f>I33/3</f>
        <v>14.683333333333332</v>
      </c>
      <c r="L33" s="358"/>
      <c r="M33" s="241"/>
      <c r="N33" s="256"/>
      <c r="O33" s="52"/>
      <c r="P33" s="259"/>
      <c r="Q33" s="260"/>
      <c r="R33" s="14"/>
      <c r="S33" s="195"/>
      <c r="T33" s="261"/>
      <c r="U33" s="262"/>
      <c r="V33" s="263"/>
      <c r="W33" s="262"/>
      <c r="X33" s="262"/>
      <c r="Y33" s="262"/>
      <c r="Z33" s="264"/>
      <c r="AA33" s="12"/>
    </row>
    <row r="34" spans="1:27" s="9" customFormat="1" ht="58.5" customHeight="1" x14ac:dyDescent="0.3">
      <c r="A34" s="173">
        <v>2026</v>
      </c>
      <c r="B34" s="284" t="s">
        <v>85</v>
      </c>
      <c r="C34" s="182" t="s">
        <v>86</v>
      </c>
      <c r="D34" s="175" t="s">
        <v>87</v>
      </c>
      <c r="E34" s="241">
        <v>165</v>
      </c>
      <c r="F34" s="241"/>
      <c r="G34" s="292"/>
      <c r="H34" s="292">
        <v>1500</v>
      </c>
      <c r="I34" s="342">
        <f>E34*H34/1000000</f>
        <v>0.2475</v>
      </c>
      <c r="J34" s="342"/>
      <c r="K34" s="342"/>
      <c r="L34" s="342">
        <f>I34</f>
        <v>0.2475</v>
      </c>
      <c r="M34" s="241"/>
      <c r="N34" s="256"/>
      <c r="O34" s="52"/>
      <c r="P34" s="259"/>
      <c r="Q34" s="260"/>
      <c r="R34" s="14"/>
      <c r="S34" s="195"/>
      <c r="T34" s="261"/>
      <c r="U34" s="262"/>
      <c r="V34" s="263"/>
      <c r="W34" s="262"/>
      <c r="X34" s="262"/>
      <c r="Y34" s="262"/>
      <c r="Z34" s="264"/>
      <c r="AA34" s="12"/>
    </row>
    <row r="35" spans="1:27" s="9" customFormat="1" ht="43.5" customHeight="1" x14ac:dyDescent="0.3">
      <c r="A35" s="173">
        <v>2026</v>
      </c>
      <c r="B35" s="284" t="s">
        <v>88</v>
      </c>
      <c r="C35" s="182" t="s">
        <v>89</v>
      </c>
      <c r="D35" s="175" t="s">
        <v>90</v>
      </c>
      <c r="E35" s="241">
        <v>125</v>
      </c>
      <c r="F35" s="241"/>
      <c r="G35" s="292"/>
      <c r="H35" s="292">
        <v>1500</v>
      </c>
      <c r="I35" s="342">
        <f>E35*H35/1000000</f>
        <v>0.1875</v>
      </c>
      <c r="J35" s="342"/>
      <c r="K35" s="342"/>
      <c r="L35" s="342">
        <f>I35</f>
        <v>0.1875</v>
      </c>
      <c r="M35" s="241"/>
      <c r="N35" s="256"/>
      <c r="O35" s="52"/>
      <c r="P35" s="259"/>
      <c r="Q35" s="260"/>
      <c r="R35" s="14"/>
      <c r="S35" s="195"/>
      <c r="T35" s="261"/>
      <c r="U35" s="262"/>
      <c r="V35" s="263"/>
      <c r="W35" s="262"/>
      <c r="X35" s="262"/>
      <c r="Y35" s="262"/>
      <c r="Z35" s="264"/>
      <c r="AA35" s="12"/>
    </row>
    <row r="36" spans="1:27" s="9" customFormat="1" ht="40.5" customHeight="1" thickBot="1" x14ac:dyDescent="0.35">
      <c r="A36" s="432" t="s">
        <v>91</v>
      </c>
      <c r="B36" s="433"/>
      <c r="C36" s="433"/>
      <c r="D36" s="434"/>
      <c r="E36" s="338"/>
      <c r="F36" s="339"/>
      <c r="G36" s="339"/>
      <c r="H36" s="339"/>
      <c r="I36" s="339"/>
      <c r="J36" s="359">
        <f>SUM(J27:J30)</f>
        <v>6.3500000000000005</v>
      </c>
      <c r="K36" s="359">
        <f>SUM(K31:K33)</f>
        <v>16.383333333333333</v>
      </c>
      <c r="L36" s="359">
        <f>SUM(L34:AA35)</f>
        <v>0.435</v>
      </c>
      <c r="M36" s="241"/>
      <c r="N36" s="256"/>
      <c r="O36" s="52"/>
      <c r="P36" s="259"/>
      <c r="Q36" s="260"/>
      <c r="R36" s="14"/>
      <c r="S36" s="195"/>
      <c r="T36" s="261"/>
      <c r="U36" s="262"/>
      <c r="V36" s="263"/>
      <c r="W36" s="262"/>
      <c r="X36" s="262"/>
      <c r="Y36" s="262"/>
      <c r="Z36" s="264"/>
      <c r="AA36" s="12"/>
    </row>
    <row r="37" spans="1:27" s="9" customFormat="1" ht="64.5" customHeight="1" thickTop="1" x14ac:dyDescent="0.3">
      <c r="A37" s="285">
        <v>2027</v>
      </c>
      <c r="B37" s="282" t="s">
        <v>92</v>
      </c>
      <c r="C37" s="286" t="s">
        <v>93</v>
      </c>
      <c r="D37" s="175" t="s">
        <v>94</v>
      </c>
      <c r="E37" s="267">
        <v>600</v>
      </c>
      <c r="F37" s="267"/>
      <c r="G37" s="291"/>
      <c r="H37" s="291"/>
      <c r="I37" s="344">
        <v>3.6</v>
      </c>
      <c r="J37" s="344">
        <f>I37</f>
        <v>3.6</v>
      </c>
      <c r="K37" s="344"/>
      <c r="L37" s="353"/>
      <c r="M37" s="241"/>
      <c r="N37" s="256"/>
      <c r="O37" s="52"/>
      <c r="P37" s="259"/>
      <c r="Q37" s="260"/>
      <c r="R37" s="14"/>
      <c r="S37" s="195"/>
      <c r="T37" s="261"/>
      <c r="U37" s="262"/>
      <c r="V37" s="263"/>
      <c r="W37" s="262"/>
      <c r="X37" s="262"/>
      <c r="Y37" s="262"/>
      <c r="Z37" s="264"/>
      <c r="AA37" s="12"/>
    </row>
    <row r="38" spans="1:27" s="9" customFormat="1" ht="63.75" customHeight="1" x14ac:dyDescent="0.3">
      <c r="A38" s="285">
        <v>2027</v>
      </c>
      <c r="B38" s="282" t="s">
        <v>74</v>
      </c>
      <c r="C38" s="286" t="s">
        <v>75</v>
      </c>
      <c r="D38" s="175" t="s">
        <v>76</v>
      </c>
      <c r="E38" s="267">
        <v>1500</v>
      </c>
      <c r="F38" s="267"/>
      <c r="G38" s="291"/>
      <c r="H38" s="291"/>
      <c r="I38" s="344">
        <v>9</v>
      </c>
      <c r="J38" s="344">
        <f>I38/3</f>
        <v>3</v>
      </c>
      <c r="K38" s="344"/>
      <c r="L38" s="70"/>
      <c r="M38" s="241"/>
      <c r="N38" s="256"/>
      <c r="O38" s="52"/>
      <c r="P38" s="259"/>
      <c r="Q38" s="260"/>
      <c r="R38" s="14"/>
      <c r="S38" s="195"/>
      <c r="T38" s="281" t="s">
        <v>77</v>
      </c>
      <c r="U38" s="262"/>
      <c r="V38" s="263"/>
      <c r="W38" s="262"/>
      <c r="X38" s="262"/>
      <c r="Y38" s="262"/>
      <c r="Z38" s="264"/>
      <c r="AA38" s="12"/>
    </row>
    <row r="39" spans="1:27" s="9" customFormat="1" ht="53.25" customHeight="1" x14ac:dyDescent="0.3">
      <c r="A39" s="285">
        <v>2027</v>
      </c>
      <c r="B39" s="282" t="s">
        <v>34</v>
      </c>
      <c r="C39" s="286" t="s">
        <v>35</v>
      </c>
      <c r="D39" s="228" t="s">
        <v>53</v>
      </c>
      <c r="E39" s="241"/>
      <c r="F39" s="241">
        <v>39</v>
      </c>
      <c r="G39" s="292"/>
      <c r="H39" s="342">
        <v>0.05</v>
      </c>
      <c r="I39" s="342">
        <f>H39*F39</f>
        <v>1.9500000000000002</v>
      </c>
      <c r="J39" s="342">
        <f>H39*3</f>
        <v>0.15000000000000002</v>
      </c>
      <c r="K39" s="289"/>
      <c r="L39" s="289"/>
      <c r="M39" s="241"/>
      <c r="N39" s="256"/>
      <c r="O39" s="52"/>
      <c r="P39" s="259"/>
      <c r="Q39" s="260"/>
      <c r="R39" s="14"/>
      <c r="S39" s="195"/>
      <c r="T39" s="261"/>
      <c r="U39" s="262"/>
      <c r="V39" s="263"/>
      <c r="W39" s="262"/>
      <c r="X39" s="262"/>
      <c r="Y39" s="262"/>
      <c r="Z39" s="264"/>
      <c r="AA39" s="12"/>
    </row>
    <row r="40" spans="1:27" s="9" customFormat="1" ht="94.5" customHeight="1" x14ac:dyDescent="0.3">
      <c r="A40" s="285">
        <v>2027</v>
      </c>
      <c r="B40" s="282" t="s">
        <v>43</v>
      </c>
      <c r="C40" s="182" t="s">
        <v>44</v>
      </c>
      <c r="D40" s="235" t="s">
        <v>45</v>
      </c>
      <c r="E40" s="241"/>
      <c r="F40" s="241">
        <v>4</v>
      </c>
      <c r="G40" s="292"/>
      <c r="H40" s="292">
        <v>2000000</v>
      </c>
      <c r="I40" s="342">
        <f>F40*H40/1000000</f>
        <v>8</v>
      </c>
      <c r="J40" s="342"/>
      <c r="K40" s="342">
        <v>2</v>
      </c>
      <c r="L40" s="342"/>
      <c r="M40" s="241"/>
      <c r="N40" s="256"/>
      <c r="O40" s="52"/>
      <c r="P40" s="259"/>
      <c r="Q40" s="260"/>
      <c r="R40" s="14"/>
      <c r="S40" s="195"/>
      <c r="T40" s="261"/>
      <c r="U40" s="262"/>
      <c r="V40" s="263"/>
      <c r="W40" s="262"/>
      <c r="X40" s="262"/>
      <c r="Y40" s="262"/>
      <c r="Z40" s="264"/>
      <c r="AA40" s="12"/>
    </row>
    <row r="41" spans="1:27" s="9" customFormat="1" ht="94.5" customHeight="1" x14ac:dyDescent="0.3">
      <c r="A41" s="173">
        <v>2027</v>
      </c>
      <c r="B41" s="282" t="s">
        <v>46</v>
      </c>
      <c r="C41" s="182" t="s">
        <v>47</v>
      </c>
      <c r="D41" s="235" t="s">
        <v>48</v>
      </c>
      <c r="E41" s="241">
        <v>3000</v>
      </c>
      <c r="F41" s="241"/>
      <c r="G41" s="292"/>
      <c r="H41" s="292">
        <v>4000</v>
      </c>
      <c r="I41" s="342">
        <f>H41*E41/1000000</f>
        <v>12</v>
      </c>
      <c r="J41" s="342"/>
      <c r="K41" s="342">
        <f>I41/10</f>
        <v>1.2</v>
      </c>
      <c r="L41" s="70"/>
      <c r="M41" s="241"/>
      <c r="N41" s="256"/>
      <c r="O41" s="52"/>
      <c r="P41" s="259"/>
      <c r="Q41" s="260"/>
      <c r="R41" s="14"/>
      <c r="S41" s="195"/>
      <c r="T41" s="261"/>
      <c r="U41" s="262"/>
      <c r="V41" s="263"/>
      <c r="W41" s="262"/>
      <c r="X41" s="262"/>
      <c r="Y41" s="262"/>
      <c r="Z41" s="264"/>
      <c r="AA41" s="12"/>
    </row>
    <row r="42" spans="1:27" s="9" customFormat="1" ht="59.25" customHeight="1" x14ac:dyDescent="0.3">
      <c r="A42" s="173">
        <v>2027</v>
      </c>
      <c r="B42" s="282" t="s">
        <v>49</v>
      </c>
      <c r="C42" s="183" t="s">
        <v>50</v>
      </c>
      <c r="D42" s="228" t="s">
        <v>95</v>
      </c>
      <c r="E42" s="241"/>
      <c r="F42" s="241">
        <v>50</v>
      </c>
      <c r="G42" s="292"/>
      <c r="H42" s="292">
        <v>100000</v>
      </c>
      <c r="I42" s="342">
        <f>F42*H42/1000000</f>
        <v>5</v>
      </c>
      <c r="J42" s="342"/>
      <c r="K42" s="342">
        <f>I42/10</f>
        <v>0.5</v>
      </c>
      <c r="L42" s="70"/>
      <c r="M42" s="241"/>
      <c r="N42" s="256"/>
      <c r="O42" s="52"/>
      <c r="P42" s="259"/>
      <c r="Q42" s="260"/>
      <c r="R42" s="14"/>
      <c r="S42" s="195"/>
      <c r="T42" s="261"/>
      <c r="U42" s="262"/>
      <c r="V42" s="263"/>
      <c r="W42" s="262"/>
      <c r="X42" s="262"/>
      <c r="Y42" s="262"/>
      <c r="Z42" s="264"/>
      <c r="AA42" s="12"/>
    </row>
    <row r="43" spans="1:27" s="9" customFormat="1" ht="65.25" customHeight="1" x14ac:dyDescent="0.3">
      <c r="A43" s="173">
        <v>2027</v>
      </c>
      <c r="B43" s="106" t="s">
        <v>67</v>
      </c>
      <c r="C43" s="183" t="s">
        <v>68</v>
      </c>
      <c r="D43" s="175" t="s">
        <v>84</v>
      </c>
      <c r="E43" s="241"/>
      <c r="F43" s="241"/>
      <c r="G43" s="292"/>
      <c r="H43" s="241">
        <f>38000000+2850000+3200000</f>
        <v>44050000</v>
      </c>
      <c r="I43" s="342">
        <f>H43/1000000</f>
        <v>44.05</v>
      </c>
      <c r="J43" s="342"/>
      <c r="K43" s="342">
        <f>I43/3</f>
        <v>14.683333333333332</v>
      </c>
      <c r="L43" s="70"/>
      <c r="M43" s="241"/>
      <c r="N43" s="256"/>
      <c r="O43" s="52"/>
      <c r="P43" s="259"/>
      <c r="Q43" s="260"/>
      <c r="R43" s="14"/>
      <c r="S43" s="195"/>
      <c r="T43" s="261"/>
      <c r="U43" s="262"/>
      <c r="V43" s="263"/>
      <c r="W43" s="262"/>
      <c r="X43" s="262"/>
      <c r="Y43" s="262"/>
      <c r="Z43" s="264"/>
      <c r="AA43" s="12"/>
    </row>
    <row r="44" spans="1:27" s="9" customFormat="1" ht="36.75" customHeight="1" x14ac:dyDescent="0.3">
      <c r="A44" s="173">
        <v>2027</v>
      </c>
      <c r="B44" s="282" t="s">
        <v>96</v>
      </c>
      <c r="C44" s="181" t="s">
        <v>97</v>
      </c>
      <c r="D44" s="175" t="s">
        <v>98</v>
      </c>
      <c r="E44" s="241">
        <v>200</v>
      </c>
      <c r="F44" s="241"/>
      <c r="G44" s="292"/>
      <c r="H44" s="292">
        <v>2000</v>
      </c>
      <c r="I44" s="342">
        <f>H44*E44/1000000</f>
        <v>0.4</v>
      </c>
      <c r="J44" s="342"/>
      <c r="K44" s="342"/>
      <c r="L44" s="342">
        <f>I44</f>
        <v>0.4</v>
      </c>
      <c r="M44" s="241"/>
      <c r="N44" s="256"/>
      <c r="O44" s="52"/>
      <c r="P44" s="259"/>
      <c r="Q44" s="260"/>
      <c r="R44" s="14"/>
      <c r="S44" s="195"/>
      <c r="T44" s="261"/>
      <c r="U44" s="262"/>
      <c r="V44" s="263"/>
      <c r="W44" s="262"/>
      <c r="X44" s="262"/>
      <c r="Y44" s="262"/>
      <c r="Z44" s="264"/>
      <c r="AA44" s="12"/>
    </row>
    <row r="45" spans="1:27" s="9" customFormat="1" ht="40.5" customHeight="1" thickBot="1" x14ac:dyDescent="0.35">
      <c r="A45" s="432" t="s">
        <v>99</v>
      </c>
      <c r="B45" s="433"/>
      <c r="C45" s="433"/>
      <c r="D45" s="434"/>
      <c r="E45" s="336"/>
      <c r="F45" s="337"/>
      <c r="G45" s="337"/>
      <c r="H45" s="337"/>
      <c r="I45" s="337"/>
      <c r="J45" s="359">
        <f>SUM(J37:J39)</f>
        <v>6.75</v>
      </c>
      <c r="K45" s="359">
        <f>SUM(K40:K43)</f>
        <v>18.383333333333333</v>
      </c>
      <c r="L45" s="359">
        <f>SUM(L44:AA44)</f>
        <v>0.4</v>
      </c>
      <c r="M45" s="241"/>
      <c r="N45" s="256"/>
      <c r="O45" s="52"/>
      <c r="P45" s="259"/>
      <c r="Q45" s="260"/>
      <c r="R45" s="14"/>
      <c r="S45" s="195"/>
      <c r="T45" s="261"/>
      <c r="U45" s="262"/>
      <c r="V45" s="263"/>
      <c r="W45" s="262"/>
      <c r="X45" s="262"/>
      <c r="Y45" s="262"/>
      <c r="Z45" s="264"/>
      <c r="AA45" s="12"/>
    </row>
    <row r="46" spans="1:27" s="9" customFormat="1" ht="61.5" customHeight="1" thickTop="1" x14ac:dyDescent="0.3">
      <c r="A46" s="173">
        <v>2028</v>
      </c>
      <c r="B46" s="282" t="s">
        <v>100</v>
      </c>
      <c r="C46" s="286" t="s">
        <v>101</v>
      </c>
      <c r="D46" s="228" t="s">
        <v>102</v>
      </c>
      <c r="E46" s="241">
        <v>4500</v>
      </c>
      <c r="F46" s="241"/>
      <c r="G46" s="292"/>
      <c r="H46" s="292"/>
      <c r="I46" s="342">
        <v>6.75</v>
      </c>
      <c r="J46" s="344">
        <f>I46</f>
        <v>6.75</v>
      </c>
      <c r="K46" s="344"/>
      <c r="L46" s="353"/>
      <c r="M46" s="241"/>
      <c r="N46" s="256"/>
      <c r="O46" s="52"/>
      <c r="P46" s="259"/>
      <c r="Q46" s="260"/>
      <c r="R46" s="14"/>
      <c r="S46" s="195"/>
      <c r="T46" s="261"/>
      <c r="U46" s="262"/>
      <c r="V46" s="263"/>
      <c r="W46" s="262"/>
      <c r="X46" s="262"/>
      <c r="Y46" s="262"/>
      <c r="Z46" s="264"/>
      <c r="AA46" s="12"/>
    </row>
    <row r="47" spans="1:27" s="9" customFormat="1" ht="56.25" customHeight="1" x14ac:dyDescent="0.3">
      <c r="A47" s="173">
        <v>2028</v>
      </c>
      <c r="B47" s="282" t="s">
        <v>103</v>
      </c>
      <c r="C47" s="286" t="s">
        <v>104</v>
      </c>
      <c r="D47" s="175" t="s">
        <v>105</v>
      </c>
      <c r="E47" s="241"/>
      <c r="F47" s="241"/>
      <c r="G47" s="292"/>
      <c r="H47" s="292"/>
      <c r="I47" s="342">
        <v>0.15</v>
      </c>
      <c r="J47" s="342">
        <f>I47</f>
        <v>0.15</v>
      </c>
      <c r="K47" s="342"/>
      <c r="L47" s="70"/>
      <c r="M47" s="241"/>
      <c r="N47" s="256"/>
      <c r="O47" s="52"/>
      <c r="P47" s="259"/>
      <c r="Q47" s="260"/>
      <c r="R47" s="14"/>
      <c r="S47" s="195"/>
      <c r="T47" s="261"/>
      <c r="U47" s="262"/>
      <c r="V47" s="263"/>
      <c r="W47" s="262"/>
      <c r="X47" s="262"/>
      <c r="Y47" s="262"/>
      <c r="Z47" s="264"/>
      <c r="AA47" s="12"/>
    </row>
    <row r="48" spans="1:27" s="9" customFormat="1" ht="64.5" customHeight="1" x14ac:dyDescent="0.3">
      <c r="A48" s="173">
        <v>2028</v>
      </c>
      <c r="B48" s="282" t="s">
        <v>74</v>
      </c>
      <c r="C48" s="286" t="s">
        <v>75</v>
      </c>
      <c r="D48" s="175" t="s">
        <v>76</v>
      </c>
      <c r="E48" s="241">
        <v>1500</v>
      </c>
      <c r="F48" s="70"/>
      <c r="G48" s="70"/>
      <c r="H48" s="70"/>
      <c r="I48" s="342">
        <v>9</v>
      </c>
      <c r="J48" s="342">
        <f>I48/3</f>
        <v>3</v>
      </c>
      <c r="K48" s="342"/>
      <c r="L48" s="70"/>
      <c r="M48" s="241"/>
      <c r="N48" s="256"/>
      <c r="O48" s="52"/>
      <c r="P48" s="259"/>
      <c r="Q48" s="260"/>
      <c r="R48" s="14"/>
      <c r="S48" s="195"/>
      <c r="T48" s="281" t="s">
        <v>77</v>
      </c>
      <c r="U48" s="262"/>
      <c r="V48" s="263"/>
      <c r="W48" s="262"/>
      <c r="X48" s="262"/>
      <c r="Y48" s="262"/>
      <c r="Z48" s="264"/>
      <c r="AA48" s="12"/>
    </row>
    <row r="49" spans="1:27" s="9" customFormat="1" ht="63.75" customHeight="1" x14ac:dyDescent="0.3">
      <c r="A49" s="173">
        <v>2028</v>
      </c>
      <c r="B49" s="282" t="s">
        <v>106</v>
      </c>
      <c r="C49" s="286" t="s">
        <v>107</v>
      </c>
      <c r="D49" s="228" t="s">
        <v>108</v>
      </c>
      <c r="E49" s="241">
        <v>2500</v>
      </c>
      <c r="F49" s="241"/>
      <c r="G49" s="292"/>
      <c r="H49" s="292"/>
      <c r="I49" s="342">
        <v>15</v>
      </c>
      <c r="J49" s="342">
        <f>I49/5</f>
        <v>3</v>
      </c>
      <c r="K49" s="342"/>
      <c r="L49" s="70"/>
      <c r="M49" s="241"/>
      <c r="N49" s="256"/>
      <c r="O49" s="52"/>
      <c r="P49" s="259"/>
      <c r="Q49" s="260"/>
      <c r="R49" s="14"/>
      <c r="S49" s="195"/>
      <c r="T49" s="261"/>
      <c r="U49" s="262"/>
      <c r="V49" s="263"/>
      <c r="W49" s="262"/>
      <c r="X49" s="262"/>
      <c r="Y49" s="262"/>
      <c r="Z49" s="264"/>
      <c r="AA49" s="12"/>
    </row>
    <row r="50" spans="1:27" s="9" customFormat="1" ht="45.75" customHeight="1" x14ac:dyDescent="0.3">
      <c r="A50" s="173">
        <v>2028</v>
      </c>
      <c r="B50" s="282" t="s">
        <v>34</v>
      </c>
      <c r="C50" s="286" t="s">
        <v>35</v>
      </c>
      <c r="D50" s="228" t="s">
        <v>53</v>
      </c>
      <c r="E50" s="241"/>
      <c r="F50" s="241">
        <v>39</v>
      </c>
      <c r="G50" s="292"/>
      <c r="H50" s="342">
        <v>0.05</v>
      </c>
      <c r="I50" s="342">
        <f>H50*F50</f>
        <v>1.9500000000000002</v>
      </c>
      <c r="J50" s="342">
        <f>H50*3</f>
        <v>0.15000000000000002</v>
      </c>
      <c r="K50" s="289"/>
      <c r="L50" s="289"/>
      <c r="M50" s="241"/>
      <c r="N50" s="256"/>
      <c r="O50" s="52"/>
      <c r="P50" s="259"/>
      <c r="Q50" s="260"/>
      <c r="R50" s="14"/>
      <c r="S50" s="195"/>
      <c r="T50" s="261"/>
      <c r="U50" s="262"/>
      <c r="V50" s="263"/>
      <c r="W50" s="262"/>
      <c r="X50" s="262"/>
      <c r="Y50" s="262"/>
      <c r="Z50" s="264"/>
      <c r="AA50" s="12"/>
    </row>
    <row r="51" spans="1:27" s="9" customFormat="1" ht="111" customHeight="1" x14ac:dyDescent="0.3">
      <c r="A51" s="173">
        <v>2028</v>
      </c>
      <c r="B51" s="282" t="s">
        <v>46</v>
      </c>
      <c r="C51" s="182" t="s">
        <v>47</v>
      </c>
      <c r="D51" s="235" t="s">
        <v>48</v>
      </c>
      <c r="E51" s="241">
        <v>3000</v>
      </c>
      <c r="F51" s="241"/>
      <c r="G51" s="292"/>
      <c r="H51" s="292">
        <v>4000</v>
      </c>
      <c r="I51" s="342">
        <f>H51*E51/1000000</f>
        <v>12</v>
      </c>
      <c r="J51" s="342"/>
      <c r="K51" s="342">
        <f>I51/10</f>
        <v>1.2</v>
      </c>
      <c r="L51" s="342"/>
      <c r="M51" s="241"/>
      <c r="N51" s="256"/>
      <c r="O51" s="52"/>
      <c r="P51" s="259"/>
      <c r="Q51" s="260"/>
      <c r="R51" s="14"/>
      <c r="S51" s="195"/>
      <c r="T51" s="261"/>
      <c r="U51" s="262"/>
      <c r="V51" s="263"/>
      <c r="W51" s="262"/>
      <c r="X51" s="262"/>
      <c r="Y51" s="262"/>
      <c r="Z51" s="264"/>
      <c r="AA51" s="12"/>
    </row>
    <row r="52" spans="1:27" s="9" customFormat="1" ht="46.5" customHeight="1" x14ac:dyDescent="0.3">
      <c r="A52" s="173">
        <v>2028</v>
      </c>
      <c r="B52" s="282" t="s">
        <v>49</v>
      </c>
      <c r="C52" s="183" t="s">
        <v>50</v>
      </c>
      <c r="D52" s="228" t="s">
        <v>51</v>
      </c>
      <c r="E52" s="241"/>
      <c r="F52" s="241">
        <v>50</v>
      </c>
      <c r="G52" s="292"/>
      <c r="H52" s="292">
        <v>100000</v>
      </c>
      <c r="I52" s="342">
        <f>F52*H52/1000000</f>
        <v>5</v>
      </c>
      <c r="J52" s="342"/>
      <c r="K52" s="342">
        <f>I52/10</f>
        <v>0.5</v>
      </c>
      <c r="L52" s="342"/>
      <c r="M52" s="241"/>
      <c r="N52" s="256"/>
      <c r="O52" s="52"/>
      <c r="P52" s="259"/>
      <c r="Q52" s="260"/>
      <c r="R52" s="14"/>
      <c r="S52" s="195"/>
      <c r="T52" s="261"/>
      <c r="U52" s="262"/>
      <c r="V52" s="263"/>
      <c r="W52" s="262"/>
      <c r="X52" s="262"/>
      <c r="Y52" s="262"/>
      <c r="Z52" s="264"/>
      <c r="AA52" s="12"/>
    </row>
    <row r="53" spans="1:27" s="9" customFormat="1" ht="40.5" customHeight="1" thickBot="1" x14ac:dyDescent="0.35">
      <c r="A53" s="432" t="s">
        <v>109</v>
      </c>
      <c r="B53" s="433"/>
      <c r="C53" s="433"/>
      <c r="D53" s="434"/>
      <c r="E53" s="336"/>
      <c r="F53" s="337"/>
      <c r="G53" s="337"/>
      <c r="H53" s="337"/>
      <c r="I53" s="337"/>
      <c r="J53" s="359">
        <f>SUM(J46:J50)</f>
        <v>13.05</v>
      </c>
      <c r="K53" s="359">
        <f>K51+K52</f>
        <v>1.7</v>
      </c>
      <c r="L53" s="359">
        <v>0</v>
      </c>
      <c r="M53" s="241"/>
      <c r="N53" s="256"/>
      <c r="O53" s="52"/>
      <c r="P53" s="259"/>
      <c r="Q53" s="260"/>
      <c r="R53" s="14"/>
      <c r="S53" s="195"/>
      <c r="T53" s="261"/>
      <c r="U53" s="262"/>
      <c r="V53" s="263"/>
      <c r="W53" s="262"/>
      <c r="X53" s="262"/>
      <c r="Y53" s="262"/>
      <c r="Z53" s="264"/>
      <c r="AA53" s="12"/>
    </row>
    <row r="54" spans="1:27" s="9" customFormat="1" ht="68.25" customHeight="1" thickTop="1" x14ac:dyDescent="0.3">
      <c r="A54" s="173">
        <v>2029</v>
      </c>
      <c r="B54" s="282" t="s">
        <v>106</v>
      </c>
      <c r="C54" s="286" t="s">
        <v>107</v>
      </c>
      <c r="D54" s="228" t="s">
        <v>108</v>
      </c>
      <c r="E54" s="241">
        <v>2500</v>
      </c>
      <c r="F54" s="241"/>
      <c r="G54" s="292"/>
      <c r="H54" s="292"/>
      <c r="I54" s="342">
        <v>15</v>
      </c>
      <c r="J54" s="344">
        <f>I54/5</f>
        <v>3</v>
      </c>
      <c r="K54" s="344"/>
      <c r="L54" s="353"/>
      <c r="M54" s="241"/>
      <c r="N54" s="256"/>
      <c r="O54" s="52"/>
      <c r="P54" s="259"/>
      <c r="Q54" s="260"/>
      <c r="R54" s="14"/>
      <c r="S54" s="195"/>
      <c r="T54" s="261"/>
      <c r="U54" s="262"/>
      <c r="V54" s="263"/>
      <c r="W54" s="262"/>
      <c r="X54" s="262"/>
      <c r="Y54" s="262"/>
      <c r="Z54" s="264"/>
      <c r="AA54" s="12"/>
    </row>
    <row r="55" spans="1:27" s="9" customFormat="1" ht="57" customHeight="1" x14ac:dyDescent="0.3">
      <c r="A55" s="173">
        <v>2029</v>
      </c>
      <c r="B55" s="282" t="s">
        <v>34</v>
      </c>
      <c r="C55" s="286" t="s">
        <v>35</v>
      </c>
      <c r="D55" s="228" t="s">
        <v>53</v>
      </c>
      <c r="E55" s="241"/>
      <c r="F55" s="241">
        <v>39</v>
      </c>
      <c r="G55" s="292"/>
      <c r="H55" s="342">
        <v>0.05</v>
      </c>
      <c r="I55" s="342">
        <f>H55*F55</f>
        <v>1.9500000000000002</v>
      </c>
      <c r="J55" s="342">
        <f>H55*3</f>
        <v>0.15000000000000002</v>
      </c>
      <c r="K55" s="289"/>
      <c r="L55" s="289"/>
      <c r="M55" s="241"/>
      <c r="N55" s="256"/>
      <c r="O55" s="52"/>
      <c r="P55" s="259"/>
      <c r="Q55" s="260"/>
      <c r="R55" s="14"/>
      <c r="S55" s="195"/>
      <c r="T55" s="261"/>
      <c r="U55" s="262"/>
      <c r="V55" s="263"/>
      <c r="W55" s="262"/>
      <c r="X55" s="262"/>
      <c r="Y55" s="262"/>
      <c r="Z55" s="264"/>
      <c r="AA55" s="12"/>
    </row>
    <row r="56" spans="1:27" s="9" customFormat="1" ht="51" customHeight="1" x14ac:dyDescent="0.3">
      <c r="A56" s="173">
        <v>2029</v>
      </c>
      <c r="B56" s="194" t="s">
        <v>110</v>
      </c>
      <c r="C56" s="182" t="s">
        <v>111</v>
      </c>
      <c r="D56" s="241" t="s">
        <v>500</v>
      </c>
      <c r="E56" s="241"/>
      <c r="F56" s="241"/>
      <c r="G56" s="292"/>
      <c r="H56" s="292"/>
      <c r="I56" s="342">
        <v>2</v>
      </c>
      <c r="J56" s="342">
        <f>I56</f>
        <v>2</v>
      </c>
      <c r="K56" s="342"/>
      <c r="L56" s="70"/>
      <c r="M56" s="241"/>
      <c r="N56" s="256"/>
      <c r="O56" s="52"/>
      <c r="P56" s="259"/>
      <c r="Q56" s="260"/>
      <c r="R56" s="14"/>
      <c r="S56" s="195"/>
      <c r="T56" s="261"/>
      <c r="U56" s="262"/>
      <c r="V56" s="263"/>
      <c r="W56" s="262"/>
      <c r="X56" s="262"/>
      <c r="Y56" s="262"/>
      <c r="Z56" s="264"/>
      <c r="AA56" s="12"/>
    </row>
    <row r="57" spans="1:27" s="9" customFormat="1" ht="94.5" customHeight="1" x14ac:dyDescent="0.3">
      <c r="A57" s="173">
        <v>2029</v>
      </c>
      <c r="B57" s="282" t="s">
        <v>43</v>
      </c>
      <c r="C57" s="182" t="s">
        <v>44</v>
      </c>
      <c r="D57" s="235" t="s">
        <v>45</v>
      </c>
      <c r="E57" s="241"/>
      <c r="F57" s="241">
        <v>4</v>
      </c>
      <c r="G57" s="292"/>
      <c r="H57" s="292">
        <v>2000000</v>
      </c>
      <c r="I57" s="342">
        <f>F57*H57/1000000</f>
        <v>8</v>
      </c>
      <c r="J57" s="342"/>
      <c r="K57" s="342">
        <v>2</v>
      </c>
      <c r="L57" s="342"/>
      <c r="M57" s="241"/>
      <c r="N57" s="256"/>
      <c r="O57" s="52"/>
      <c r="P57" s="259"/>
      <c r="Q57" s="260"/>
      <c r="R57" s="14"/>
      <c r="S57" s="195"/>
      <c r="T57" s="261"/>
      <c r="U57" s="262"/>
      <c r="V57" s="263"/>
      <c r="W57" s="262"/>
      <c r="X57" s="262"/>
      <c r="Y57" s="262"/>
      <c r="Z57" s="264"/>
      <c r="AA57" s="12"/>
    </row>
    <row r="58" spans="1:27" s="9" customFormat="1" ht="94.5" customHeight="1" x14ac:dyDescent="0.3">
      <c r="A58" s="173">
        <v>2029</v>
      </c>
      <c r="B58" s="282" t="s">
        <v>46</v>
      </c>
      <c r="C58" s="182" t="s">
        <v>47</v>
      </c>
      <c r="D58" s="235" t="s">
        <v>48</v>
      </c>
      <c r="E58" s="241">
        <v>3000</v>
      </c>
      <c r="F58" s="241"/>
      <c r="G58" s="292"/>
      <c r="H58" s="292">
        <v>4000</v>
      </c>
      <c r="I58" s="342">
        <f>H58*E58/1000000</f>
        <v>12</v>
      </c>
      <c r="J58" s="342"/>
      <c r="K58" s="342">
        <f>I58/10</f>
        <v>1.2</v>
      </c>
      <c r="L58" s="342"/>
      <c r="M58" s="241"/>
      <c r="N58" s="256"/>
      <c r="O58" s="52"/>
      <c r="P58" s="259"/>
      <c r="Q58" s="260"/>
      <c r="R58" s="14"/>
      <c r="S58" s="195"/>
      <c r="T58" s="261"/>
      <c r="U58" s="262"/>
      <c r="V58" s="263"/>
      <c r="W58" s="262"/>
      <c r="X58" s="262"/>
      <c r="Y58" s="262"/>
      <c r="Z58" s="264"/>
      <c r="AA58" s="12"/>
    </row>
    <row r="59" spans="1:27" s="9" customFormat="1" ht="48" customHeight="1" x14ac:dyDescent="0.3">
      <c r="A59" s="173">
        <v>2029</v>
      </c>
      <c r="B59" s="282" t="s">
        <v>49</v>
      </c>
      <c r="C59" s="183" t="s">
        <v>50</v>
      </c>
      <c r="D59" s="228" t="s">
        <v>51</v>
      </c>
      <c r="E59" s="241"/>
      <c r="F59" s="241">
        <v>50</v>
      </c>
      <c r="G59" s="292"/>
      <c r="H59" s="292">
        <v>100000</v>
      </c>
      <c r="I59" s="342">
        <f>F59*H59/1000000</f>
        <v>5</v>
      </c>
      <c r="J59" s="342"/>
      <c r="K59" s="342">
        <f>I59/10</f>
        <v>0.5</v>
      </c>
      <c r="L59" s="342"/>
      <c r="M59" s="241"/>
      <c r="N59" s="256"/>
      <c r="O59" s="52"/>
      <c r="P59" s="259"/>
      <c r="Q59" s="260"/>
      <c r="R59" s="14"/>
      <c r="S59" s="195"/>
      <c r="T59" s="261"/>
      <c r="U59" s="262"/>
      <c r="V59" s="263"/>
      <c r="W59" s="262"/>
      <c r="X59" s="262"/>
      <c r="Y59" s="262"/>
      <c r="Z59" s="264"/>
      <c r="AA59" s="12"/>
    </row>
    <row r="60" spans="1:27" s="9" customFormat="1" ht="48" customHeight="1" x14ac:dyDescent="0.3">
      <c r="A60" s="173">
        <v>2029</v>
      </c>
      <c r="B60" s="282" t="s">
        <v>493</v>
      </c>
      <c r="C60" s="29" t="s">
        <v>496</v>
      </c>
      <c r="D60" s="241" t="s">
        <v>498</v>
      </c>
      <c r="E60" s="241"/>
      <c r="F60" s="241"/>
      <c r="G60" s="292"/>
      <c r="H60" s="292"/>
      <c r="I60" s="342"/>
      <c r="J60" s="342">
        <v>10</v>
      </c>
      <c r="K60" s="342"/>
      <c r="L60" s="342"/>
      <c r="M60" s="241"/>
      <c r="N60" s="256"/>
      <c r="O60" s="52"/>
      <c r="P60" s="259"/>
      <c r="Q60" s="260"/>
      <c r="R60" s="14"/>
      <c r="S60" s="195"/>
      <c r="T60" s="261"/>
      <c r="U60" s="262"/>
      <c r="V60" s="263"/>
      <c r="W60" s="262"/>
      <c r="X60" s="262"/>
      <c r="Y60" s="262"/>
      <c r="Z60" s="264"/>
      <c r="AA60" s="12"/>
    </row>
    <row r="61" spans="1:27" s="9" customFormat="1" ht="48" customHeight="1" x14ac:dyDescent="0.3">
      <c r="A61" s="173">
        <v>2029</v>
      </c>
      <c r="B61" s="282" t="s">
        <v>495</v>
      </c>
      <c r="C61" s="29" t="s">
        <v>497</v>
      </c>
      <c r="D61" s="241" t="s">
        <v>499</v>
      </c>
      <c r="E61" s="241"/>
      <c r="F61" s="241"/>
      <c r="G61" s="292"/>
      <c r="H61" s="292"/>
      <c r="I61" s="342"/>
      <c r="J61" s="342">
        <v>10</v>
      </c>
      <c r="K61" s="342">
        <f>I61/10</f>
        <v>0</v>
      </c>
      <c r="L61" s="342"/>
      <c r="M61" s="241"/>
      <c r="N61" s="256"/>
      <c r="O61" s="52"/>
      <c r="P61" s="259"/>
      <c r="Q61" s="260"/>
      <c r="R61" s="14"/>
      <c r="S61" s="195"/>
      <c r="T61" s="261"/>
      <c r="U61" s="262"/>
      <c r="V61" s="263"/>
      <c r="W61" s="262"/>
      <c r="X61" s="262"/>
      <c r="Y61" s="262"/>
      <c r="Z61" s="264"/>
      <c r="AA61" s="12"/>
    </row>
    <row r="62" spans="1:27" s="9" customFormat="1" ht="39.75" customHeight="1" thickBot="1" x14ac:dyDescent="0.35">
      <c r="A62" s="432" t="s">
        <v>113</v>
      </c>
      <c r="B62" s="433"/>
      <c r="C62" s="433"/>
      <c r="D62" s="434"/>
      <c r="E62" s="336"/>
      <c r="F62" s="337"/>
      <c r="G62" s="337"/>
      <c r="H62" s="337"/>
      <c r="I62" s="337"/>
      <c r="J62" s="359">
        <f>SUM(J54:J61)</f>
        <v>25.15</v>
      </c>
      <c r="K62" s="359">
        <f>SUM(K54:K61)</f>
        <v>3.7</v>
      </c>
      <c r="L62" s="359">
        <f>SUM(L57:L61)</f>
        <v>0</v>
      </c>
      <c r="M62" s="241"/>
      <c r="N62" s="256"/>
      <c r="O62" s="52"/>
      <c r="P62" s="259"/>
      <c r="Q62" s="260"/>
      <c r="R62" s="14"/>
      <c r="S62" s="195"/>
      <c r="T62" s="261"/>
      <c r="U62" s="262"/>
      <c r="V62" s="263"/>
      <c r="W62" s="262"/>
      <c r="X62" s="262"/>
      <c r="Y62" s="262"/>
      <c r="Z62" s="264"/>
      <c r="AA62" s="12"/>
    </row>
    <row r="63" spans="1:27" s="9" customFormat="1" ht="67.5" customHeight="1" thickTop="1" x14ac:dyDescent="0.3">
      <c r="A63" s="173">
        <v>2030</v>
      </c>
      <c r="B63" s="282" t="s">
        <v>106</v>
      </c>
      <c r="C63" s="286" t="s">
        <v>107</v>
      </c>
      <c r="D63" s="228" t="s">
        <v>108</v>
      </c>
      <c r="E63" s="241">
        <v>2500</v>
      </c>
      <c r="F63" s="241"/>
      <c r="G63" s="292"/>
      <c r="H63" s="292"/>
      <c r="I63" s="342">
        <v>15</v>
      </c>
      <c r="J63" s="344">
        <f>I63/5</f>
        <v>3</v>
      </c>
      <c r="K63" s="291"/>
      <c r="L63" s="353"/>
      <c r="M63" s="241"/>
      <c r="N63" s="256"/>
      <c r="O63" s="52"/>
      <c r="P63" s="259"/>
      <c r="Q63" s="260"/>
      <c r="R63" s="14"/>
      <c r="S63" s="195"/>
      <c r="T63" s="261"/>
      <c r="U63" s="262"/>
      <c r="V63" s="263"/>
      <c r="W63" s="262"/>
      <c r="X63" s="262"/>
      <c r="Y63" s="262"/>
      <c r="Z63" s="264"/>
      <c r="AA63" s="12"/>
    </row>
    <row r="64" spans="1:27" s="9" customFormat="1" ht="48.75" customHeight="1" x14ac:dyDescent="0.3">
      <c r="A64" s="173">
        <v>2030</v>
      </c>
      <c r="B64" s="282" t="s">
        <v>34</v>
      </c>
      <c r="C64" s="286" t="s">
        <v>35</v>
      </c>
      <c r="D64" s="228" t="s">
        <v>53</v>
      </c>
      <c r="E64" s="241"/>
      <c r="F64" s="241">
        <v>39</v>
      </c>
      <c r="G64" s="292"/>
      <c r="H64" s="342">
        <v>0.05</v>
      </c>
      <c r="I64" s="342">
        <f>H64*F64</f>
        <v>1.9500000000000002</v>
      </c>
      <c r="J64" s="342">
        <f>H64*3</f>
        <v>0.15000000000000002</v>
      </c>
      <c r="K64" s="289"/>
      <c r="L64" s="289"/>
      <c r="M64" s="241"/>
      <c r="N64" s="256"/>
      <c r="O64" s="52"/>
      <c r="P64" s="259"/>
      <c r="Q64" s="260"/>
      <c r="R64" s="14"/>
      <c r="S64" s="195"/>
      <c r="T64" s="261"/>
      <c r="U64" s="262"/>
      <c r="V64" s="263"/>
      <c r="W64" s="262"/>
      <c r="X64" s="262"/>
      <c r="Y64" s="262"/>
      <c r="Z64" s="264"/>
      <c r="AA64" s="12"/>
    </row>
    <row r="65" spans="1:28" s="9" customFormat="1" ht="94.5" customHeight="1" x14ac:dyDescent="0.3">
      <c r="A65" s="173">
        <v>2030</v>
      </c>
      <c r="B65" s="282" t="s">
        <v>46</v>
      </c>
      <c r="C65" s="182" t="s">
        <v>47</v>
      </c>
      <c r="D65" s="235" t="s">
        <v>48</v>
      </c>
      <c r="E65" s="241">
        <v>3000</v>
      </c>
      <c r="F65" s="241"/>
      <c r="G65" s="292"/>
      <c r="H65" s="292">
        <v>4000</v>
      </c>
      <c r="I65" s="342">
        <f>H65*E65/1000000</f>
        <v>12</v>
      </c>
      <c r="J65" s="342"/>
      <c r="K65" s="342">
        <f>I65/10</f>
        <v>1.2</v>
      </c>
      <c r="L65" s="70"/>
      <c r="M65" s="241"/>
      <c r="N65" s="256"/>
      <c r="O65" s="52"/>
      <c r="P65" s="259"/>
      <c r="Q65" s="260"/>
      <c r="R65" s="14"/>
      <c r="S65" s="195"/>
      <c r="T65" s="261"/>
      <c r="U65" s="262"/>
      <c r="V65" s="263"/>
      <c r="W65" s="262"/>
      <c r="X65" s="262"/>
      <c r="Y65" s="262"/>
      <c r="Z65" s="264"/>
      <c r="AA65" s="12"/>
    </row>
    <row r="66" spans="1:28" s="9" customFormat="1" ht="49.5" customHeight="1" x14ac:dyDescent="0.3">
      <c r="A66" s="173">
        <v>2030</v>
      </c>
      <c r="B66" s="282" t="s">
        <v>49</v>
      </c>
      <c r="C66" s="183" t="s">
        <v>50</v>
      </c>
      <c r="D66" s="228" t="s">
        <v>51</v>
      </c>
      <c r="E66" s="241"/>
      <c r="F66" s="241">
        <v>50</v>
      </c>
      <c r="G66" s="292"/>
      <c r="H66" s="292">
        <v>100000</v>
      </c>
      <c r="I66" s="342">
        <f>F66*H66/1000000</f>
        <v>5</v>
      </c>
      <c r="J66" s="342"/>
      <c r="K66" s="342">
        <f>I66/10</f>
        <v>0.5</v>
      </c>
      <c r="L66" s="70"/>
      <c r="M66" s="241"/>
      <c r="N66" s="256"/>
      <c r="O66" s="52"/>
      <c r="P66" s="259"/>
      <c r="Q66" s="260"/>
      <c r="R66" s="14"/>
      <c r="S66" s="195"/>
      <c r="T66" s="261"/>
      <c r="U66" s="262"/>
      <c r="V66" s="263"/>
      <c r="W66" s="262"/>
      <c r="X66" s="262"/>
      <c r="Y66" s="262"/>
      <c r="Z66" s="264"/>
      <c r="AA66" s="12"/>
    </row>
    <row r="67" spans="1:28" s="9" customFormat="1" ht="40.5" customHeight="1" thickBot="1" x14ac:dyDescent="0.35">
      <c r="A67" s="432" t="s">
        <v>114</v>
      </c>
      <c r="B67" s="433"/>
      <c r="C67" s="433"/>
      <c r="D67" s="434"/>
      <c r="E67" s="340"/>
      <c r="F67" s="341"/>
      <c r="G67" s="341"/>
      <c r="H67" s="341"/>
      <c r="I67" s="341"/>
      <c r="J67" s="360">
        <f>J63+J64</f>
        <v>3.15</v>
      </c>
      <c r="K67" s="360">
        <f>K65+K66</f>
        <v>1.7</v>
      </c>
      <c r="L67" s="360"/>
      <c r="M67" s="241"/>
      <c r="N67" s="256"/>
      <c r="O67" s="52"/>
      <c r="P67" s="259"/>
      <c r="Q67" s="260"/>
      <c r="R67" s="14"/>
      <c r="S67" s="195"/>
      <c r="T67" s="261"/>
      <c r="U67" s="262"/>
      <c r="V67" s="263"/>
      <c r="W67" s="262"/>
      <c r="X67" s="262"/>
      <c r="Y67" s="262"/>
      <c r="Z67" s="264"/>
      <c r="AA67" s="12"/>
    </row>
    <row r="68" spans="1:28" s="9" customFormat="1" ht="65.25" customHeight="1" thickTop="1" x14ac:dyDescent="0.3">
      <c r="A68" s="173">
        <v>2031</v>
      </c>
      <c r="B68" s="194" t="s">
        <v>106</v>
      </c>
      <c r="C68" s="183" t="s">
        <v>107</v>
      </c>
      <c r="D68" s="241" t="s">
        <v>108</v>
      </c>
      <c r="E68" s="241">
        <v>2500</v>
      </c>
      <c r="F68" s="241"/>
      <c r="G68" s="292"/>
      <c r="H68" s="292"/>
      <c r="I68" s="342">
        <v>15</v>
      </c>
      <c r="J68" s="344">
        <f>I68/5</f>
        <v>3</v>
      </c>
      <c r="K68" s="291"/>
      <c r="L68" s="353"/>
      <c r="M68" s="241"/>
      <c r="N68" s="256"/>
      <c r="O68" s="52"/>
      <c r="P68" s="259"/>
      <c r="Q68" s="260"/>
      <c r="R68" s="14"/>
      <c r="S68" s="195"/>
      <c r="T68" s="261"/>
      <c r="U68" s="262"/>
      <c r="V68" s="263"/>
      <c r="W68" s="262"/>
      <c r="X68" s="262"/>
      <c r="Y68" s="262"/>
      <c r="Z68" s="264"/>
      <c r="AA68" s="12"/>
    </row>
    <row r="69" spans="1:28" s="9" customFormat="1" ht="57" customHeight="1" x14ac:dyDescent="0.3">
      <c r="A69" s="173">
        <v>2031</v>
      </c>
      <c r="B69" s="282" t="s">
        <v>34</v>
      </c>
      <c r="C69" s="286" t="s">
        <v>35</v>
      </c>
      <c r="D69" s="228" t="s">
        <v>53</v>
      </c>
      <c r="E69" s="241"/>
      <c r="F69" s="241">
        <v>39</v>
      </c>
      <c r="G69" s="292"/>
      <c r="H69" s="342">
        <v>0.05</v>
      </c>
      <c r="I69" s="342">
        <f>H69*F69</f>
        <v>1.9500000000000002</v>
      </c>
      <c r="J69" s="342">
        <f>H69*3</f>
        <v>0.15000000000000002</v>
      </c>
      <c r="K69" s="289"/>
      <c r="L69" s="289"/>
      <c r="M69" s="241"/>
      <c r="N69" s="256"/>
      <c r="O69" s="52"/>
      <c r="P69" s="259"/>
      <c r="Q69" s="260"/>
      <c r="R69" s="14"/>
      <c r="S69" s="195"/>
      <c r="T69" s="261"/>
      <c r="U69" s="262"/>
      <c r="V69" s="263"/>
      <c r="W69" s="262"/>
      <c r="X69" s="262"/>
      <c r="Y69" s="262"/>
      <c r="Z69" s="264"/>
      <c r="AA69" s="12"/>
    </row>
    <row r="70" spans="1:28" s="9" customFormat="1" ht="94.5" customHeight="1" x14ac:dyDescent="0.3">
      <c r="A70" s="173">
        <v>2031</v>
      </c>
      <c r="B70" s="282" t="s">
        <v>46</v>
      </c>
      <c r="C70" s="182" t="s">
        <v>47</v>
      </c>
      <c r="D70" s="235" t="s">
        <v>48</v>
      </c>
      <c r="E70" s="241">
        <v>3000</v>
      </c>
      <c r="F70" s="241"/>
      <c r="G70" s="292"/>
      <c r="H70" s="292">
        <v>4000</v>
      </c>
      <c r="I70" s="342">
        <f>H70*E70/1000000</f>
        <v>12</v>
      </c>
      <c r="J70" s="342"/>
      <c r="K70" s="342">
        <f>I70/10</f>
        <v>1.2</v>
      </c>
      <c r="L70" s="342"/>
      <c r="M70" s="241"/>
      <c r="N70" s="256"/>
      <c r="O70" s="52"/>
      <c r="P70" s="259"/>
      <c r="Q70" s="260"/>
      <c r="R70" s="14"/>
      <c r="S70" s="195"/>
      <c r="T70" s="261"/>
      <c r="U70" s="262"/>
      <c r="V70" s="263"/>
      <c r="W70" s="262"/>
      <c r="X70" s="262"/>
      <c r="Y70" s="262"/>
      <c r="Z70" s="264"/>
      <c r="AA70" s="12"/>
    </row>
    <row r="71" spans="1:28" s="9" customFormat="1" ht="54" customHeight="1" x14ac:dyDescent="0.3">
      <c r="A71" s="361">
        <v>2031</v>
      </c>
      <c r="B71" s="362" t="s">
        <v>49</v>
      </c>
      <c r="C71" s="363" t="s">
        <v>50</v>
      </c>
      <c r="D71" s="364" t="s">
        <v>51</v>
      </c>
      <c r="E71" s="241"/>
      <c r="F71" s="241">
        <v>50</v>
      </c>
      <c r="G71" s="292"/>
      <c r="H71" s="292">
        <v>100000</v>
      </c>
      <c r="I71" s="342">
        <f>F71*H71/1000000</f>
        <v>5</v>
      </c>
      <c r="J71" s="342"/>
      <c r="K71" s="342">
        <f>I71/10</f>
        <v>0.5</v>
      </c>
      <c r="L71" s="342"/>
      <c r="M71" s="241"/>
      <c r="N71" s="256"/>
      <c r="O71" s="52"/>
      <c r="P71" s="259"/>
      <c r="Q71" s="260"/>
      <c r="R71" s="14"/>
      <c r="S71" s="195"/>
      <c r="T71" s="261"/>
      <c r="U71" s="262"/>
      <c r="V71" s="263"/>
      <c r="W71" s="262"/>
      <c r="X71" s="262"/>
      <c r="Y71" s="262"/>
      <c r="Z71" s="264"/>
      <c r="AA71" s="12"/>
    </row>
    <row r="72" spans="1:28" s="9" customFormat="1" ht="41.25" customHeight="1" thickBot="1" x14ac:dyDescent="0.35">
      <c r="A72" s="435" t="s">
        <v>115</v>
      </c>
      <c r="B72" s="435"/>
      <c r="C72" s="435"/>
      <c r="D72" s="435"/>
      <c r="E72" s="337"/>
      <c r="F72" s="337"/>
      <c r="G72" s="337"/>
      <c r="H72" s="337"/>
      <c r="I72" s="337"/>
      <c r="J72" s="359">
        <f>J68+J69</f>
        <v>3.15</v>
      </c>
      <c r="K72" s="359">
        <f>K70+K71</f>
        <v>1.7</v>
      </c>
      <c r="L72" s="359">
        <v>0</v>
      </c>
      <c r="M72" s="241"/>
      <c r="N72" s="256"/>
      <c r="O72" s="52"/>
      <c r="P72" s="259"/>
      <c r="Q72" s="260"/>
      <c r="R72" s="14"/>
      <c r="S72" s="195"/>
      <c r="T72" s="261"/>
      <c r="U72" s="262"/>
      <c r="V72" s="263"/>
      <c r="W72" s="262"/>
      <c r="X72" s="262"/>
      <c r="Y72" s="262"/>
      <c r="Z72" s="264"/>
      <c r="AA72" s="12"/>
    </row>
    <row r="73" spans="1:28" s="9" customFormat="1" ht="66" customHeight="1" thickTop="1" x14ac:dyDescent="0.3">
      <c r="A73" s="365">
        <v>2032</v>
      </c>
      <c r="B73" s="366" t="s">
        <v>106</v>
      </c>
      <c r="C73" s="183" t="s">
        <v>107</v>
      </c>
      <c r="D73" s="267" t="s">
        <v>108</v>
      </c>
      <c r="E73" s="241">
        <v>2500</v>
      </c>
      <c r="F73" s="241"/>
      <c r="G73" s="292"/>
      <c r="H73" s="292"/>
      <c r="I73" s="342">
        <v>15</v>
      </c>
      <c r="J73" s="344">
        <f>I73/5</f>
        <v>3</v>
      </c>
      <c r="K73" s="291"/>
      <c r="L73" s="353"/>
      <c r="M73" s="241"/>
      <c r="N73" s="256"/>
      <c r="O73" s="52"/>
      <c r="P73" s="259"/>
      <c r="Q73" s="260"/>
      <c r="R73" s="14"/>
      <c r="S73" s="195"/>
      <c r="T73" s="261"/>
      <c r="U73" s="262"/>
      <c r="V73" s="263"/>
      <c r="W73" s="262"/>
      <c r="X73" s="262"/>
      <c r="Y73" s="262"/>
      <c r="Z73" s="264"/>
      <c r="AA73" s="12"/>
    </row>
    <row r="74" spans="1:28" s="9" customFormat="1" ht="53.25" customHeight="1" x14ac:dyDescent="0.3">
      <c r="A74" s="173">
        <v>2032</v>
      </c>
      <c r="B74" s="282" t="s">
        <v>34</v>
      </c>
      <c r="C74" s="286" t="s">
        <v>35</v>
      </c>
      <c r="D74" s="228" t="s">
        <v>53</v>
      </c>
      <c r="E74" s="241"/>
      <c r="F74" s="241">
        <v>39</v>
      </c>
      <c r="G74" s="292"/>
      <c r="H74" s="342">
        <v>0.05</v>
      </c>
      <c r="I74" s="342">
        <f>H74*F74</f>
        <v>1.9500000000000002</v>
      </c>
      <c r="J74" s="342">
        <f>H74*3</f>
        <v>0.15000000000000002</v>
      </c>
      <c r="K74" s="289"/>
      <c r="L74" s="289"/>
      <c r="M74" s="241"/>
      <c r="N74" s="256"/>
      <c r="O74" s="52"/>
      <c r="P74" s="259"/>
      <c r="Q74" s="260"/>
      <c r="R74" s="14"/>
      <c r="S74" s="195"/>
      <c r="T74" s="261"/>
      <c r="U74" s="262"/>
      <c r="V74" s="263"/>
      <c r="W74" s="262"/>
      <c r="X74" s="262"/>
      <c r="Y74" s="262"/>
      <c r="Z74" s="264"/>
      <c r="AA74" s="12"/>
    </row>
    <row r="75" spans="1:28" s="9" customFormat="1" ht="57.75" customHeight="1" x14ac:dyDescent="0.3">
      <c r="A75" s="173">
        <v>2032</v>
      </c>
      <c r="B75" s="194" t="s">
        <v>116</v>
      </c>
      <c r="C75" s="183" t="s">
        <v>117</v>
      </c>
      <c r="D75" s="241" t="s">
        <v>118</v>
      </c>
      <c r="E75" s="241">
        <v>2000</v>
      </c>
      <c r="F75" s="241">
        <v>1</v>
      </c>
      <c r="G75" s="292"/>
      <c r="H75" s="342"/>
      <c r="I75" s="342">
        <v>4.2</v>
      </c>
      <c r="J75" s="342">
        <f>I75</f>
        <v>4.2</v>
      </c>
      <c r="K75" s="342"/>
      <c r="L75" s="70"/>
      <c r="M75" s="241"/>
      <c r="N75" s="256"/>
      <c r="O75" s="52"/>
      <c r="P75" s="259"/>
      <c r="Q75" s="260"/>
      <c r="R75" s="14"/>
      <c r="S75" s="195"/>
      <c r="T75" s="261"/>
      <c r="U75" s="262"/>
      <c r="V75" s="263"/>
      <c r="W75" s="262"/>
      <c r="X75" s="262"/>
      <c r="Y75" s="262"/>
      <c r="Z75" s="264"/>
      <c r="AA75" s="12"/>
    </row>
    <row r="76" spans="1:28" s="9" customFormat="1" ht="114" customHeight="1" x14ac:dyDescent="0.3">
      <c r="A76" s="173">
        <v>2032</v>
      </c>
      <c r="B76" s="282" t="s">
        <v>46</v>
      </c>
      <c r="C76" s="182" t="s">
        <v>47</v>
      </c>
      <c r="D76" s="235" t="s">
        <v>48</v>
      </c>
      <c r="E76" s="241">
        <v>3000</v>
      </c>
      <c r="F76" s="241"/>
      <c r="G76" s="292"/>
      <c r="H76" s="292">
        <v>4000</v>
      </c>
      <c r="I76" s="342">
        <f>H76*E76/1000000</f>
        <v>12</v>
      </c>
      <c r="J76" s="342"/>
      <c r="K76" s="342">
        <f>I76/10</f>
        <v>1.2</v>
      </c>
      <c r="L76" s="342"/>
      <c r="M76" s="241"/>
      <c r="N76" s="256"/>
      <c r="O76" s="52"/>
      <c r="P76" s="259"/>
      <c r="Q76" s="260"/>
      <c r="R76" s="14"/>
      <c r="S76" s="195"/>
      <c r="T76" s="261"/>
      <c r="U76" s="262"/>
      <c r="V76" s="263"/>
      <c r="W76" s="262"/>
      <c r="X76" s="262"/>
      <c r="Y76" s="262"/>
      <c r="Z76" s="264"/>
      <c r="AA76" s="12"/>
    </row>
    <row r="77" spans="1:28" s="9" customFormat="1" ht="65.25" customHeight="1" x14ac:dyDescent="0.3">
      <c r="A77" s="173">
        <v>2032</v>
      </c>
      <c r="B77" s="282" t="s">
        <v>49</v>
      </c>
      <c r="C77" s="183" t="s">
        <v>50</v>
      </c>
      <c r="D77" s="228" t="s">
        <v>51</v>
      </c>
      <c r="E77" s="241"/>
      <c r="F77" s="241">
        <v>50</v>
      </c>
      <c r="G77" s="292"/>
      <c r="H77" s="292">
        <v>100000</v>
      </c>
      <c r="I77" s="342">
        <f>F77*H77/1000000</f>
        <v>5</v>
      </c>
      <c r="J77" s="342"/>
      <c r="K77" s="342">
        <f>I77/10</f>
        <v>0.5</v>
      </c>
      <c r="L77" s="342"/>
      <c r="M77" s="241"/>
      <c r="N77" s="256"/>
      <c r="O77" s="52"/>
      <c r="P77" s="259"/>
      <c r="Q77" s="260"/>
      <c r="R77" s="14"/>
      <c r="S77" s="195"/>
      <c r="T77" s="261"/>
      <c r="U77" s="262"/>
      <c r="V77" s="263"/>
      <c r="W77" s="262"/>
      <c r="X77" s="262"/>
      <c r="Y77" s="262"/>
      <c r="Z77" s="264"/>
      <c r="AA77" s="12"/>
    </row>
    <row r="78" spans="1:28" s="9" customFormat="1" ht="39.75" customHeight="1" x14ac:dyDescent="0.3">
      <c r="A78" s="435" t="s">
        <v>119</v>
      </c>
      <c r="B78" s="435"/>
      <c r="C78" s="435"/>
      <c r="D78" s="435"/>
      <c r="E78" s="367"/>
      <c r="F78" s="367"/>
      <c r="G78" s="367"/>
      <c r="H78" s="367"/>
      <c r="I78" s="368"/>
      <c r="J78" s="369">
        <f>J73+J74+J75</f>
        <v>7.35</v>
      </c>
      <c r="K78" s="369">
        <f>K76+K77</f>
        <v>1.7</v>
      </c>
      <c r="L78" s="369">
        <v>0</v>
      </c>
      <c r="M78" s="241"/>
      <c r="N78" s="256"/>
      <c r="O78" s="52"/>
      <c r="P78" s="259"/>
      <c r="Q78" s="260"/>
      <c r="R78" s="14"/>
      <c r="S78" s="195"/>
      <c r="T78" s="261"/>
      <c r="U78" s="262"/>
      <c r="V78" s="263"/>
      <c r="W78" s="262"/>
      <c r="X78" s="262"/>
      <c r="Y78" s="262"/>
      <c r="Z78" s="264"/>
      <c r="AA78" s="12"/>
      <c r="AB78"/>
    </row>
    <row r="79" spans="1:28" s="9" customFormat="1" ht="40.5" customHeight="1" x14ac:dyDescent="0.3">
      <c r="A79" s="418" t="s">
        <v>120</v>
      </c>
      <c r="B79" s="418"/>
      <c r="C79" s="418"/>
      <c r="D79" s="418"/>
      <c r="E79" s="418"/>
      <c r="F79" s="418"/>
      <c r="G79" s="418"/>
      <c r="H79" s="418"/>
      <c r="I79" s="418"/>
      <c r="J79" s="370">
        <f>J78+J72+J67+J62+J53+J45+J36+J26+J16+J11</f>
        <v>91.9</v>
      </c>
      <c r="K79" s="370">
        <f>K78+K72+K67+K62+K53+K45+K36+K26+K16+K11</f>
        <v>69.800000000000011</v>
      </c>
      <c r="L79" s="370">
        <f>L78+L72+L67+L62+L53+L45+L36+L26+L16+L11</f>
        <v>1.4350000000000001</v>
      </c>
      <c r="M79" s="50"/>
      <c r="N79" s="51"/>
      <c r="O79" s="56"/>
      <c r="P79" s="72"/>
      <c r="Q79" s="62"/>
      <c r="R79" s="8"/>
      <c r="S79" s="8"/>
      <c r="Z79" s="92"/>
      <c r="AA79" s="92"/>
      <c r="AB79"/>
    </row>
    <row r="80" spans="1:28" s="9" customFormat="1" ht="40.5" customHeight="1" x14ac:dyDescent="0.3">
      <c r="A80" s="418" t="s">
        <v>121</v>
      </c>
      <c r="B80" s="418"/>
      <c r="C80" s="418"/>
      <c r="D80" s="418"/>
      <c r="E80" s="418"/>
      <c r="F80" s="418"/>
      <c r="G80" s="418"/>
      <c r="H80" s="418"/>
      <c r="I80" s="418"/>
      <c r="J80" s="419">
        <f>J79+K79+L79</f>
        <v>163.13500000000002</v>
      </c>
      <c r="K80" s="420"/>
      <c r="L80" s="421"/>
      <c r="M80" s="50"/>
      <c r="N80" s="51"/>
      <c r="O80" s="56"/>
      <c r="P80" s="72"/>
      <c r="Q80" s="62"/>
      <c r="R80" s="8"/>
      <c r="S80" s="8"/>
      <c r="Z80" s="92"/>
      <c r="AA80" s="92"/>
      <c r="AB80"/>
    </row>
    <row r="81" spans="3:26" ht="43.2" x14ac:dyDescent="0.3">
      <c r="C81" s="23"/>
      <c r="E81" s="371" t="s">
        <v>122</v>
      </c>
      <c r="F81" s="372"/>
      <c r="G81" s="373" t="s">
        <v>123</v>
      </c>
      <c r="H81" s="373" t="s">
        <v>124</v>
      </c>
      <c r="I81" s="374"/>
      <c r="J81" s="375">
        <f>J79+[1]NVA!J4+[1]NVA!J7+[1]NVA!J8+[1]NVA!J13+[1]NVA!J15+[1]NVA!J17+[1]NVA!J19+[1]NVA!J22+[1]NVA!J25+[1]NVA!J28+[1]NVA!J30</f>
        <v>101.39999999999998</v>
      </c>
      <c r="K81" s="375">
        <f>K79+[1]NVA!J5+[1]NVA!J9+[1]NVA!J10+[1]NVA!J11+[1]NVA!J20+[1]NVA!J23+[1]NVA!J26</f>
        <v>82.100000000000009</v>
      </c>
      <c r="L81" s="375">
        <f>L79</f>
        <v>1.4350000000000001</v>
      </c>
      <c r="O81" s="49" t="s">
        <v>123</v>
      </c>
      <c r="P81" s="376">
        <f>MAXA(P8:P25)</f>
        <v>0</v>
      </c>
    </row>
    <row r="82" spans="3:26" x14ac:dyDescent="0.3">
      <c r="E82" s="372"/>
      <c r="F82" s="372"/>
      <c r="G82" s="377"/>
      <c r="H82" s="377"/>
      <c r="I82" s="378"/>
      <c r="J82" s="379"/>
      <c r="K82" s="379"/>
      <c r="L82" s="378"/>
    </row>
    <row r="83" spans="3:26" ht="28.8" hidden="1" x14ac:dyDescent="0.3">
      <c r="C83" s="37" t="s">
        <v>125</v>
      </c>
      <c r="E83" s="372"/>
      <c r="F83" s="372"/>
      <c r="G83" s="377"/>
      <c r="H83" s="377"/>
      <c r="I83" s="378"/>
      <c r="J83" s="378"/>
      <c r="K83" s="378"/>
      <c r="L83" s="378"/>
    </row>
    <row r="84" spans="3:26" hidden="1" x14ac:dyDescent="0.3">
      <c r="C84" s="95" t="s">
        <v>126</v>
      </c>
      <c r="E84" s="372"/>
      <c r="F84" s="372"/>
      <c r="G84" s="377"/>
      <c r="H84" s="377"/>
      <c r="I84" s="378"/>
      <c r="J84" s="378"/>
      <c r="K84" s="378"/>
      <c r="L84" s="378"/>
    </row>
    <row r="85" spans="3:26" ht="22.5" hidden="1" customHeight="1" x14ac:dyDescent="0.3">
      <c r="C85" s="96" t="s">
        <v>127</v>
      </c>
      <c r="E85" s="372"/>
      <c r="F85" s="372"/>
      <c r="G85" s="377"/>
      <c r="H85" s="377"/>
      <c r="I85" s="378"/>
      <c r="J85" s="378"/>
      <c r="K85" s="378"/>
      <c r="L85" s="378"/>
      <c r="P85" s="93" t="e">
        <f>SUM(P8:P25)-#REF!</f>
        <v>#REF!</v>
      </c>
      <c r="Z85" s="94"/>
    </row>
    <row r="86" spans="3:26" x14ac:dyDescent="0.3">
      <c r="E86" s="372"/>
      <c r="F86" s="372"/>
      <c r="G86" s="377"/>
      <c r="H86" s="377" t="s">
        <v>128</v>
      </c>
      <c r="I86" s="378"/>
      <c r="J86" s="378"/>
      <c r="K86" s="380">
        <f>82.1-K81</f>
        <v>0</v>
      </c>
      <c r="L86" s="378"/>
    </row>
    <row r="87" spans="3:26" x14ac:dyDescent="0.3">
      <c r="E87" s="372"/>
      <c r="F87" s="372"/>
      <c r="G87" s="377"/>
      <c r="H87" s="377"/>
      <c r="I87" s="378"/>
      <c r="J87" s="378"/>
      <c r="K87" s="378"/>
      <c r="L87" s="378"/>
    </row>
    <row r="88" spans="3:26" x14ac:dyDescent="0.3">
      <c r="E88"/>
      <c r="F88"/>
      <c r="G88"/>
      <c r="H88"/>
      <c r="I88"/>
      <c r="J88"/>
      <c r="K88"/>
      <c r="L88"/>
    </row>
    <row r="89" spans="3:26" ht="28.8" x14ac:dyDescent="0.3">
      <c r="E89" s="14" t="s">
        <v>129</v>
      </c>
      <c r="F89" s="381">
        <f>J80+[1]NVA!E32</f>
        <v>185.93500000000003</v>
      </c>
    </row>
  </sheetData>
  <mergeCells count="35">
    <mergeCell ref="A79:I79"/>
    <mergeCell ref="A80:I80"/>
    <mergeCell ref="J80:L80"/>
    <mergeCell ref="Z2:Z3"/>
    <mergeCell ref="AA2:AA3"/>
    <mergeCell ref="A11:D11"/>
    <mergeCell ref="A16:D16"/>
    <mergeCell ref="A26:D26"/>
    <mergeCell ref="A2:A3"/>
    <mergeCell ref="A36:D36"/>
    <mergeCell ref="A45:D45"/>
    <mergeCell ref="A53:D53"/>
    <mergeCell ref="A62:D62"/>
    <mergeCell ref="A67:D67"/>
    <mergeCell ref="A72:D72"/>
    <mergeCell ref="A78:D78"/>
    <mergeCell ref="T2:V2"/>
    <mergeCell ref="W2:Y2"/>
    <mergeCell ref="M2:M3"/>
    <mergeCell ref="N2:N3"/>
    <mergeCell ref="P2:P3"/>
    <mergeCell ref="O2:O3"/>
    <mergeCell ref="R2:R3"/>
    <mergeCell ref="A1:N1"/>
    <mergeCell ref="B2:B3"/>
    <mergeCell ref="C2:C3"/>
    <mergeCell ref="D2:D3"/>
    <mergeCell ref="E2:E3"/>
    <mergeCell ref="G2:G3"/>
    <mergeCell ref="L2:L3"/>
    <mergeCell ref="F2:F3"/>
    <mergeCell ref="H2:H3"/>
    <mergeCell ref="I2:I3"/>
    <mergeCell ref="J2:J3"/>
    <mergeCell ref="K2:K3"/>
  </mergeCells>
  <conditionalFormatting sqref="AA23:AA24">
    <cfRule type="colorScale" priority="6">
      <colorScale>
        <cfvo type="min"/>
        <cfvo type="percentile" val="50"/>
        <cfvo type="max"/>
        <color rgb="FFF8696B"/>
        <color rgb="FFFFEB84"/>
        <color rgb="FF63BE7B"/>
      </colorScale>
    </cfRule>
  </conditionalFormatting>
  <conditionalFormatting sqref="AA14">
    <cfRule type="colorScale" priority="5">
      <colorScale>
        <cfvo type="min"/>
        <cfvo type="percentile" val="50"/>
        <cfvo type="max"/>
        <color rgb="FFF8696B"/>
        <color rgb="FFFFEB84"/>
        <color rgb="FF63BE7B"/>
      </colorScale>
    </cfRule>
  </conditionalFormatting>
  <conditionalFormatting sqref="AA15">
    <cfRule type="colorScale" priority="4">
      <colorScale>
        <cfvo type="min"/>
        <cfvo type="percentile" val="50"/>
        <cfvo type="max"/>
        <color rgb="FFF8696B"/>
        <color rgb="FFFFEB84"/>
        <color rgb="FF63BE7B"/>
      </colorScale>
    </cfRule>
  </conditionalFormatting>
  <conditionalFormatting sqref="AA7">
    <cfRule type="colorScale" priority="3">
      <colorScale>
        <cfvo type="min"/>
        <cfvo type="percentile" val="50"/>
        <cfvo type="max"/>
        <color rgb="FFF8696B"/>
        <color rgb="FFFFEB84"/>
        <color rgb="FF63BE7B"/>
      </colorScale>
    </cfRule>
  </conditionalFormatting>
  <conditionalFormatting sqref="AA4:AA6">
    <cfRule type="colorScale" priority="2">
      <colorScale>
        <cfvo type="min"/>
        <cfvo type="percentile" val="50"/>
        <cfvo type="max"/>
        <color rgb="FFF8696B"/>
        <color rgb="FFFFEB84"/>
        <color rgb="FF63BE7B"/>
      </colorScale>
    </cfRule>
  </conditionalFormatting>
  <conditionalFormatting sqref="AA16:AA22 AA8:AA13">
    <cfRule type="colorScale" priority="7">
      <colorScale>
        <cfvo type="min"/>
        <cfvo type="percentile" val="50"/>
        <cfvo type="max"/>
        <color rgb="FFF8696B"/>
        <color rgb="FFFFEB84"/>
        <color rgb="FF63BE7B"/>
      </colorScale>
    </cfRule>
  </conditionalFormatting>
  <conditionalFormatting sqref="AA25:AA58 AA61:AA78">
    <cfRule type="colorScale" priority="8">
      <colorScale>
        <cfvo type="min"/>
        <cfvo type="percentile" val="50"/>
        <cfvo type="max"/>
        <color rgb="FFF8696B"/>
        <color rgb="FFFFEB84"/>
        <color rgb="FF63BE7B"/>
      </colorScale>
    </cfRule>
  </conditionalFormatting>
  <conditionalFormatting sqref="AA59:AA60">
    <cfRule type="colorScale" priority="1">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scale="61" fitToHeight="0" orientation="landscape" r:id="rId1"/>
  <headerFooter>
    <oddHeader>&amp;F</oddHeader>
    <oddFooter xml:space="preserve">&amp;L&amp;F&amp;C&amp;P av &amp;N&amp;R&amp;8Asplan Viak AS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749F-BD68-42DF-B321-EE24A33C1D3E}">
  <sheetPr>
    <pageSetUpPr fitToPage="1"/>
  </sheetPr>
  <dimension ref="A1:AE35"/>
  <sheetViews>
    <sheetView showGridLines="0" zoomScale="85" zoomScaleNormal="85" zoomScaleSheetLayoutView="90" workbookViewId="0">
      <pane xSplit="2" topLeftCell="C1" activePane="topRight" state="frozen"/>
      <selection activeCell="A10" sqref="A10"/>
      <selection pane="topRight" activeCell="E32" sqref="E32:J32"/>
    </sheetView>
  </sheetViews>
  <sheetFormatPr baseColWidth="10" defaultColWidth="11.44140625" defaultRowHeight="14.4" x14ac:dyDescent="0.3"/>
  <cols>
    <col min="1" max="1" width="5.109375" customWidth="1"/>
    <col min="2" max="2" width="6.33203125" customWidth="1"/>
    <col min="3" max="3" width="18.109375" customWidth="1"/>
    <col min="4" max="4" width="52.88671875" customWidth="1"/>
    <col min="5" max="5" width="9.44140625" customWidth="1"/>
    <col min="11" max="25" width="0" hidden="1" customWidth="1"/>
  </cols>
  <sheetData>
    <row r="1" spans="1:31" ht="29.4" thickBot="1" x14ac:dyDescent="0.35">
      <c r="A1" s="436" t="s">
        <v>4</v>
      </c>
      <c r="B1" s="436"/>
      <c r="C1" s="436"/>
      <c r="D1" s="436"/>
      <c r="E1" s="436"/>
      <c r="F1" s="436"/>
      <c r="G1" s="436"/>
      <c r="H1" s="436"/>
      <c r="I1" s="436"/>
      <c r="J1" s="436"/>
      <c r="K1" s="436"/>
      <c r="L1" s="436"/>
      <c r="M1" s="57"/>
      <c r="N1" s="71"/>
      <c r="O1" s="44"/>
      <c r="P1" s="8"/>
      <c r="Q1" s="61"/>
      <c r="T1" s="63" t="s">
        <v>5</v>
      </c>
      <c r="U1" s="63" t="s">
        <v>6</v>
      </c>
      <c r="V1" s="65">
        <v>0</v>
      </c>
      <c r="X1" s="75"/>
      <c r="Y1" s="75"/>
    </row>
    <row r="2" spans="1:31" ht="57.6" x14ac:dyDescent="0.3">
      <c r="A2" s="437" t="s">
        <v>7</v>
      </c>
      <c r="B2" s="437" t="s">
        <v>0</v>
      </c>
      <c r="C2" s="438" t="s">
        <v>1</v>
      </c>
      <c r="D2" s="438" t="s">
        <v>8</v>
      </c>
      <c r="E2" s="439" t="s">
        <v>9</v>
      </c>
      <c r="F2" s="440" t="s">
        <v>10</v>
      </c>
      <c r="G2" s="441" t="s">
        <v>130</v>
      </c>
      <c r="H2" s="440" t="s">
        <v>12</v>
      </c>
      <c r="I2" s="441" t="s">
        <v>13</v>
      </c>
      <c r="J2" s="442" t="s">
        <v>131</v>
      </c>
      <c r="K2" s="443" t="s">
        <v>17</v>
      </c>
      <c r="L2" s="444" t="s">
        <v>18</v>
      </c>
      <c r="M2" s="445" t="s">
        <v>19</v>
      </c>
      <c r="N2" s="412" t="s">
        <v>20</v>
      </c>
      <c r="O2" s="334" t="s">
        <v>21</v>
      </c>
      <c r="P2" s="416" t="s">
        <v>22</v>
      </c>
      <c r="Q2" s="81" t="s">
        <v>23</v>
      </c>
      <c r="R2" s="406" t="s">
        <v>24</v>
      </c>
      <c r="S2" s="406"/>
      <c r="T2" s="406"/>
      <c r="U2" s="407" t="s">
        <v>5</v>
      </c>
      <c r="V2" s="407"/>
      <c r="W2" s="407"/>
      <c r="X2" s="422" t="s">
        <v>2</v>
      </c>
      <c r="Y2" s="424" t="s">
        <v>3</v>
      </c>
    </row>
    <row r="3" spans="1:31" ht="43.2" x14ac:dyDescent="0.3">
      <c r="A3" s="437"/>
      <c r="B3" s="437"/>
      <c r="C3" s="438"/>
      <c r="D3" s="438"/>
      <c r="E3" s="439"/>
      <c r="F3" s="440"/>
      <c r="G3" s="441"/>
      <c r="H3" s="440"/>
      <c r="I3" s="441"/>
      <c r="J3" s="442"/>
      <c r="K3" s="443"/>
      <c r="L3" s="444"/>
      <c r="M3" s="446"/>
      <c r="N3" s="413"/>
      <c r="O3" s="335"/>
      <c r="P3" s="417"/>
      <c r="Q3" s="64"/>
      <c r="R3" s="68" t="s">
        <v>25</v>
      </c>
      <c r="S3" s="68" t="s">
        <v>26</v>
      </c>
      <c r="T3" s="68" t="s">
        <v>27</v>
      </c>
      <c r="U3" s="69" t="s">
        <v>28</v>
      </c>
      <c r="V3" s="69" t="s">
        <v>29</v>
      </c>
      <c r="W3" s="69" t="s">
        <v>30</v>
      </c>
      <c r="X3" s="423"/>
      <c r="Y3" s="425"/>
    </row>
    <row r="4" spans="1:31" ht="76.5" customHeight="1" x14ac:dyDescent="0.3">
      <c r="A4" s="173">
        <v>2023</v>
      </c>
      <c r="B4" s="282" t="s">
        <v>34</v>
      </c>
      <c r="C4" s="286" t="s">
        <v>35</v>
      </c>
      <c r="D4" s="228" t="s">
        <v>53</v>
      </c>
      <c r="E4" s="241"/>
      <c r="F4" s="241">
        <v>39</v>
      </c>
      <c r="G4" s="292"/>
      <c r="H4" s="342">
        <v>0.05</v>
      </c>
      <c r="I4" s="293">
        <f>H4*F4</f>
        <v>1.9500000000000002</v>
      </c>
      <c r="J4" s="293">
        <f>I4/F4</f>
        <v>0.05</v>
      </c>
      <c r="K4" s="342"/>
      <c r="L4" s="256"/>
      <c r="M4" s="382"/>
      <c r="N4" s="255"/>
      <c r="O4" s="251"/>
      <c r="P4" s="2"/>
      <c r="Q4" s="2"/>
      <c r="R4" s="222"/>
      <c r="S4" s="252"/>
      <c r="T4" s="253"/>
      <c r="U4" s="252"/>
      <c r="V4" s="252"/>
      <c r="W4" s="252"/>
      <c r="X4" s="254"/>
      <c r="Y4" s="106"/>
      <c r="AE4" s="392"/>
    </row>
    <row r="5" spans="1:31" ht="71.25" customHeight="1" x14ac:dyDescent="0.3">
      <c r="A5" s="173">
        <v>2023</v>
      </c>
      <c r="B5" s="283" t="s">
        <v>132</v>
      </c>
      <c r="C5" s="183" t="s">
        <v>133</v>
      </c>
      <c r="D5" s="228" t="s">
        <v>134</v>
      </c>
      <c r="E5" s="241"/>
      <c r="F5" s="241">
        <v>10</v>
      </c>
      <c r="G5" s="292"/>
      <c r="H5" s="292">
        <v>100000</v>
      </c>
      <c r="I5" s="293">
        <f>H5*F5/1000000</f>
        <v>1</v>
      </c>
      <c r="J5" s="293">
        <f>I5/2</f>
        <v>0.5</v>
      </c>
      <c r="K5" s="342"/>
      <c r="L5" s="249"/>
      <c r="M5" s="382"/>
      <c r="N5" s="250"/>
      <c r="O5" s="251"/>
      <c r="P5" s="105">
        <v>1</v>
      </c>
      <c r="Q5" s="2"/>
      <c r="R5" s="222"/>
      <c r="S5" s="252"/>
      <c r="T5" s="253"/>
      <c r="U5" s="252"/>
      <c r="V5" s="252"/>
      <c r="W5" s="252"/>
      <c r="X5" s="254"/>
      <c r="Y5" s="106"/>
      <c r="AE5" s="392"/>
    </row>
    <row r="6" spans="1:31" ht="15.6" x14ac:dyDescent="0.3">
      <c r="A6" s="173"/>
      <c r="B6" s="447" t="s">
        <v>135</v>
      </c>
      <c r="C6" s="447"/>
      <c r="D6" s="447"/>
      <c r="E6" s="448">
        <f>J5+J4</f>
        <v>0.55000000000000004</v>
      </c>
      <c r="F6" s="448"/>
      <c r="G6" s="448"/>
      <c r="H6" s="448"/>
      <c r="I6" s="448"/>
      <c r="J6" s="448"/>
      <c r="K6" s="342"/>
      <c r="L6" s="249"/>
      <c r="M6" s="382"/>
      <c r="N6" s="250"/>
      <c r="O6" s="251"/>
      <c r="P6" s="105"/>
      <c r="Q6" s="2"/>
      <c r="R6" s="222"/>
      <c r="S6" s="252"/>
      <c r="T6" s="253"/>
      <c r="U6" s="252"/>
      <c r="V6" s="252"/>
      <c r="W6" s="252"/>
      <c r="X6" s="254"/>
      <c r="Y6" s="106"/>
      <c r="AE6" s="392"/>
    </row>
    <row r="7" spans="1:31" ht="76.5" customHeight="1" x14ac:dyDescent="0.3">
      <c r="A7" s="173">
        <v>2024</v>
      </c>
      <c r="B7" s="282" t="s">
        <v>34</v>
      </c>
      <c r="C7" s="286" t="s">
        <v>35</v>
      </c>
      <c r="D7" s="228" t="s">
        <v>53</v>
      </c>
      <c r="E7" s="241"/>
      <c r="F7" s="241">
        <v>39</v>
      </c>
      <c r="G7" s="292"/>
      <c r="H7" s="342">
        <v>0.05</v>
      </c>
      <c r="I7" s="293">
        <f>H7*F7</f>
        <v>1.9500000000000002</v>
      </c>
      <c r="J7" s="293">
        <f>I7/F7</f>
        <v>0.05</v>
      </c>
      <c r="K7" s="342"/>
      <c r="L7" s="249"/>
      <c r="M7" s="382"/>
      <c r="N7" s="250"/>
      <c r="O7" s="251"/>
      <c r="P7" s="105"/>
      <c r="Q7" s="2"/>
      <c r="R7" s="222"/>
      <c r="S7" s="252"/>
      <c r="T7" s="253"/>
      <c r="U7" s="252"/>
      <c r="V7" s="252"/>
      <c r="W7" s="252"/>
      <c r="X7" s="254"/>
      <c r="Y7" s="106"/>
      <c r="AE7" s="392"/>
    </row>
    <row r="8" spans="1:31" ht="62.25" customHeight="1" x14ac:dyDescent="0.3">
      <c r="A8" s="173">
        <v>2024</v>
      </c>
      <c r="B8" s="282" t="s">
        <v>40</v>
      </c>
      <c r="C8" s="286" t="s">
        <v>136</v>
      </c>
      <c r="D8" s="228" t="s">
        <v>137</v>
      </c>
      <c r="E8" s="241"/>
      <c r="F8" s="241"/>
      <c r="G8" s="292"/>
      <c r="H8" s="292"/>
      <c r="I8" s="293">
        <v>9</v>
      </c>
      <c r="J8" s="293">
        <f>I8</f>
        <v>9</v>
      </c>
      <c r="K8" s="342"/>
      <c r="L8" s="249"/>
      <c r="M8" s="382"/>
      <c r="N8" s="250"/>
      <c r="O8" s="251"/>
      <c r="P8" s="105"/>
      <c r="Q8" s="2"/>
      <c r="R8" s="222"/>
      <c r="S8" s="252"/>
      <c r="T8" s="253"/>
      <c r="U8" s="252"/>
      <c r="V8" s="252"/>
      <c r="W8" s="252"/>
      <c r="X8" s="254"/>
      <c r="Y8" s="106"/>
      <c r="AE8" s="392"/>
    </row>
    <row r="9" spans="1:31" ht="69" customHeight="1" x14ac:dyDescent="0.3">
      <c r="A9" s="173">
        <v>2024</v>
      </c>
      <c r="B9" s="283" t="s">
        <v>132</v>
      </c>
      <c r="C9" s="183" t="s">
        <v>133</v>
      </c>
      <c r="D9" s="228" t="s">
        <v>134</v>
      </c>
      <c r="E9" s="241"/>
      <c r="F9" s="241">
        <v>10</v>
      </c>
      <c r="G9" s="292"/>
      <c r="H9" s="292">
        <v>100000</v>
      </c>
      <c r="I9" s="293">
        <f>H9*F9/1000000</f>
        <v>1</v>
      </c>
      <c r="J9" s="293">
        <f>I9/2</f>
        <v>0.5</v>
      </c>
      <c r="K9" s="342"/>
      <c r="L9" s="249"/>
      <c r="M9" s="382"/>
      <c r="N9" s="250"/>
      <c r="O9" s="251"/>
      <c r="P9" s="105">
        <v>1</v>
      </c>
      <c r="Q9" s="2"/>
      <c r="R9" s="222"/>
      <c r="S9" s="252"/>
      <c r="T9" s="253"/>
      <c r="U9" s="252"/>
      <c r="V9" s="252"/>
      <c r="W9" s="252"/>
      <c r="X9" s="254"/>
      <c r="Y9" s="106"/>
      <c r="AE9" s="392"/>
    </row>
    <row r="10" spans="1:31" ht="54.75" customHeight="1" x14ac:dyDescent="0.3">
      <c r="A10" s="173">
        <v>2024</v>
      </c>
      <c r="B10" s="106" t="s">
        <v>138</v>
      </c>
      <c r="C10" s="183" t="s">
        <v>139</v>
      </c>
      <c r="D10" s="175" t="s">
        <v>140</v>
      </c>
      <c r="E10" s="241"/>
      <c r="F10" s="241"/>
      <c r="G10" s="289"/>
      <c r="H10" s="289">
        <v>300000</v>
      </c>
      <c r="I10" s="290">
        <f>H10/1000000</f>
        <v>0.3</v>
      </c>
      <c r="J10" s="290">
        <f>I10</f>
        <v>0.3</v>
      </c>
      <c r="K10" s="342"/>
      <c r="L10" s="249"/>
      <c r="M10" s="383"/>
      <c r="N10" s="384"/>
      <c r="O10" s="385"/>
      <c r="P10" s="1"/>
      <c r="Q10" s="27"/>
      <c r="R10" s="261"/>
      <c r="S10" s="262"/>
      <c r="T10" s="263"/>
      <c r="U10" s="262"/>
      <c r="V10" s="262"/>
      <c r="W10" s="262"/>
      <c r="X10" s="264"/>
      <c r="Y10" s="12"/>
      <c r="AE10" s="392"/>
    </row>
    <row r="11" spans="1:31" ht="60" customHeight="1" x14ac:dyDescent="0.3">
      <c r="A11" s="173">
        <v>2024</v>
      </c>
      <c r="B11" s="106" t="s">
        <v>141</v>
      </c>
      <c r="C11" s="183" t="s">
        <v>139</v>
      </c>
      <c r="D11" s="175" t="s">
        <v>142</v>
      </c>
      <c r="E11" s="241">
        <v>2000</v>
      </c>
      <c r="F11" s="241"/>
      <c r="G11" s="292"/>
      <c r="H11" s="292">
        <v>4000</v>
      </c>
      <c r="I11" s="293">
        <v>8</v>
      </c>
      <c r="J11" s="293">
        <v>8</v>
      </c>
      <c r="K11" s="241"/>
      <c r="L11" s="386"/>
      <c r="M11" s="49"/>
      <c r="N11" s="71"/>
      <c r="O11" s="44"/>
      <c r="P11" s="8"/>
      <c r="Q11" s="61"/>
      <c r="X11" s="75"/>
      <c r="Y11" s="75"/>
      <c r="AE11" s="392"/>
    </row>
    <row r="12" spans="1:31" ht="15.6" x14ac:dyDescent="0.3">
      <c r="A12" s="173"/>
      <c r="B12" s="447" t="s">
        <v>143</v>
      </c>
      <c r="C12" s="447"/>
      <c r="D12" s="447"/>
      <c r="E12" s="448">
        <f>SUM(J7:P11)</f>
        <v>18.850000000000001</v>
      </c>
      <c r="F12" s="448"/>
      <c r="G12" s="448"/>
      <c r="H12" s="448"/>
      <c r="I12" s="448"/>
      <c r="J12" s="448"/>
      <c r="K12" s="342"/>
      <c r="L12" s="249"/>
      <c r="M12" s="387"/>
      <c r="N12" s="388"/>
      <c r="O12" s="268"/>
      <c r="P12" s="184"/>
      <c r="Q12" s="185"/>
      <c r="R12" s="269"/>
      <c r="S12" s="270"/>
      <c r="T12" s="253"/>
      <c r="U12" s="252"/>
      <c r="V12" s="252"/>
      <c r="W12" s="252"/>
      <c r="X12" s="254"/>
      <c r="Y12" s="106"/>
      <c r="AE12" s="392"/>
    </row>
    <row r="13" spans="1:31" ht="73.5" customHeight="1" x14ac:dyDescent="0.3">
      <c r="A13" s="173">
        <v>2025</v>
      </c>
      <c r="B13" s="282" t="s">
        <v>34</v>
      </c>
      <c r="C13" s="286" t="s">
        <v>35</v>
      </c>
      <c r="D13" s="228" t="s">
        <v>53</v>
      </c>
      <c r="E13" s="241"/>
      <c r="F13" s="241">
        <v>39</v>
      </c>
      <c r="G13" s="292"/>
      <c r="H13" s="342">
        <v>0.05</v>
      </c>
      <c r="I13" s="293">
        <f>H13*F13</f>
        <v>1.9500000000000002</v>
      </c>
      <c r="J13" s="293">
        <f>I13/F13</f>
        <v>0.05</v>
      </c>
      <c r="K13" s="241"/>
      <c r="L13" s="256"/>
      <c r="M13" s="389"/>
      <c r="N13" s="259"/>
      <c r="O13" s="260"/>
      <c r="P13" s="14"/>
      <c r="Q13" s="195"/>
      <c r="R13" s="222"/>
      <c r="S13" s="252"/>
      <c r="T13" s="253"/>
      <c r="U13" s="252"/>
      <c r="V13" s="252"/>
      <c r="W13" s="252"/>
      <c r="X13" s="254"/>
      <c r="Y13" s="106"/>
      <c r="AE13" s="392"/>
    </row>
    <row r="14" spans="1:31" ht="15.6" x14ac:dyDescent="0.3">
      <c r="A14" s="173"/>
      <c r="B14" s="447" t="s">
        <v>144</v>
      </c>
      <c r="C14" s="447"/>
      <c r="D14" s="447"/>
      <c r="E14" s="453">
        <f>J13</f>
        <v>0.05</v>
      </c>
      <c r="F14" s="454"/>
      <c r="G14" s="454"/>
      <c r="H14" s="454"/>
      <c r="I14" s="454"/>
      <c r="J14" s="454"/>
      <c r="K14" s="241"/>
      <c r="L14" s="256"/>
      <c r="M14" s="389"/>
      <c r="N14" s="259"/>
      <c r="O14" s="260"/>
      <c r="P14" s="14"/>
      <c r="Q14" s="195"/>
      <c r="R14" s="261"/>
      <c r="S14" s="262"/>
      <c r="T14" s="263"/>
      <c r="U14" s="262"/>
      <c r="V14" s="262"/>
      <c r="W14" s="262"/>
      <c r="X14" s="264"/>
      <c r="Y14" s="12"/>
      <c r="AE14" s="392"/>
    </row>
    <row r="15" spans="1:31" ht="81.75" customHeight="1" x14ac:dyDescent="0.3">
      <c r="A15" s="173">
        <v>2026</v>
      </c>
      <c r="B15" s="282" t="s">
        <v>34</v>
      </c>
      <c r="C15" s="286" t="s">
        <v>35</v>
      </c>
      <c r="D15" s="228" t="s">
        <v>53</v>
      </c>
      <c r="E15" s="241"/>
      <c r="F15" s="241">
        <v>39</v>
      </c>
      <c r="G15" s="292"/>
      <c r="H15" s="342">
        <v>0.05</v>
      </c>
      <c r="I15" s="293">
        <f>H15*F15</f>
        <v>1.9500000000000002</v>
      </c>
      <c r="J15" s="293">
        <f>I15/F15</f>
        <v>0.05</v>
      </c>
      <c r="K15" s="241"/>
      <c r="L15" s="256"/>
      <c r="M15" s="389"/>
      <c r="N15" s="259"/>
      <c r="O15" s="260"/>
      <c r="P15" s="14"/>
      <c r="Q15" s="195"/>
      <c r="R15" s="261"/>
      <c r="S15" s="262"/>
      <c r="T15" s="263"/>
      <c r="U15" s="262"/>
      <c r="V15" s="262"/>
      <c r="W15" s="262"/>
      <c r="X15" s="264"/>
      <c r="Y15" s="12"/>
      <c r="AE15" s="392"/>
    </row>
    <row r="16" spans="1:31" ht="15.6" x14ac:dyDescent="0.3">
      <c r="A16" s="173"/>
      <c r="B16" s="447" t="s">
        <v>145</v>
      </c>
      <c r="C16" s="447"/>
      <c r="D16" s="447"/>
      <c r="E16" s="453">
        <f>J15</f>
        <v>0.05</v>
      </c>
      <c r="F16" s="454"/>
      <c r="G16" s="454"/>
      <c r="H16" s="454"/>
      <c r="I16" s="454"/>
      <c r="J16" s="454"/>
      <c r="K16" s="241"/>
      <c r="L16" s="256"/>
      <c r="M16" s="389"/>
      <c r="N16" s="259"/>
      <c r="O16" s="260"/>
      <c r="P16" s="14"/>
      <c r="Q16" s="195"/>
      <c r="R16" s="261"/>
      <c r="S16" s="262"/>
      <c r="T16" s="263"/>
      <c r="U16" s="262"/>
      <c r="V16" s="262"/>
      <c r="W16" s="262"/>
      <c r="X16" s="264"/>
      <c r="Y16" s="12"/>
      <c r="AE16" s="392"/>
    </row>
    <row r="17" spans="1:31" ht="79.5" customHeight="1" x14ac:dyDescent="0.3">
      <c r="A17" s="173">
        <v>2027</v>
      </c>
      <c r="B17" s="282" t="s">
        <v>34</v>
      </c>
      <c r="C17" s="286" t="s">
        <v>35</v>
      </c>
      <c r="D17" s="228" t="s">
        <v>53</v>
      </c>
      <c r="E17" s="241"/>
      <c r="F17" s="241">
        <v>39</v>
      </c>
      <c r="G17" s="292"/>
      <c r="H17" s="342">
        <v>0.05</v>
      </c>
      <c r="I17" s="293">
        <f>H17*F17</f>
        <v>1.9500000000000002</v>
      </c>
      <c r="J17" s="293">
        <f>I17/F17</f>
        <v>0.05</v>
      </c>
      <c r="K17" s="241"/>
      <c r="L17" s="256"/>
      <c r="M17" s="389"/>
      <c r="N17" s="259"/>
      <c r="O17" s="260"/>
      <c r="P17" s="14"/>
      <c r="Q17" s="195"/>
      <c r="R17" s="261"/>
      <c r="S17" s="262"/>
      <c r="T17" s="263"/>
      <c r="U17" s="262"/>
      <c r="V17" s="262"/>
      <c r="W17" s="262"/>
      <c r="X17" s="264"/>
      <c r="Y17" s="12"/>
      <c r="AE17" s="392"/>
    </row>
    <row r="18" spans="1:31" ht="15.6" x14ac:dyDescent="0.3">
      <c r="A18" s="173"/>
      <c r="B18" s="447" t="s">
        <v>146</v>
      </c>
      <c r="C18" s="447"/>
      <c r="D18" s="447"/>
      <c r="E18" s="453">
        <f>J17</f>
        <v>0.05</v>
      </c>
      <c r="F18" s="454"/>
      <c r="G18" s="454"/>
      <c r="H18" s="454"/>
      <c r="I18" s="454"/>
      <c r="J18" s="454"/>
      <c r="K18" s="241"/>
      <c r="L18" s="256"/>
      <c r="M18" s="389"/>
      <c r="N18" s="259"/>
      <c r="O18" s="260"/>
      <c r="P18" s="14"/>
      <c r="Q18" s="195"/>
      <c r="R18" s="261"/>
      <c r="S18" s="262"/>
      <c r="T18" s="263"/>
      <c r="U18" s="262"/>
      <c r="V18" s="262"/>
      <c r="W18" s="262"/>
      <c r="X18" s="264"/>
      <c r="Y18" s="12"/>
      <c r="AE18" s="392"/>
    </row>
    <row r="19" spans="1:31" ht="79.5" customHeight="1" x14ac:dyDescent="0.3">
      <c r="A19" s="173">
        <v>2028</v>
      </c>
      <c r="B19" s="282" t="s">
        <v>34</v>
      </c>
      <c r="C19" s="286" t="s">
        <v>35</v>
      </c>
      <c r="D19" s="228" t="s">
        <v>53</v>
      </c>
      <c r="E19" s="241"/>
      <c r="F19" s="241">
        <v>39</v>
      </c>
      <c r="G19" s="292"/>
      <c r="H19" s="342">
        <v>0.05</v>
      </c>
      <c r="I19" s="293">
        <f>H19*F19</f>
        <v>1.9500000000000002</v>
      </c>
      <c r="J19" s="293">
        <f>I19/F19</f>
        <v>0.05</v>
      </c>
      <c r="K19" s="241"/>
      <c r="L19" s="256"/>
      <c r="M19" s="389"/>
      <c r="N19" s="259"/>
      <c r="O19" s="260"/>
      <c r="P19" s="14"/>
      <c r="Q19" s="195"/>
      <c r="R19" s="261"/>
      <c r="S19" s="262"/>
      <c r="T19" s="263"/>
      <c r="U19" s="262"/>
      <c r="V19" s="262"/>
      <c r="W19" s="262"/>
      <c r="X19" s="264"/>
      <c r="Y19" s="12"/>
      <c r="AE19" s="392"/>
    </row>
    <row r="20" spans="1:31" ht="46.8" x14ac:dyDescent="0.3">
      <c r="A20" s="173">
        <v>2028</v>
      </c>
      <c r="B20" s="106" t="s">
        <v>147</v>
      </c>
      <c r="C20" s="183" t="s">
        <v>139</v>
      </c>
      <c r="D20" s="175" t="s">
        <v>148</v>
      </c>
      <c r="E20" s="241"/>
      <c r="F20" s="241"/>
      <c r="G20" s="292"/>
      <c r="H20" s="292"/>
      <c r="I20" s="293">
        <v>3</v>
      </c>
      <c r="J20" s="293">
        <v>1</v>
      </c>
      <c r="K20" s="241"/>
      <c r="L20" s="256"/>
      <c r="M20" s="389"/>
      <c r="N20" s="259"/>
      <c r="O20" s="260"/>
      <c r="P20" s="14"/>
      <c r="Q20" s="195"/>
      <c r="R20" s="261"/>
      <c r="S20" s="262"/>
      <c r="T20" s="263"/>
      <c r="U20" s="262"/>
      <c r="V20" s="262"/>
      <c r="W20" s="262"/>
      <c r="X20" s="264"/>
      <c r="Y20" s="12"/>
      <c r="AE20" s="392"/>
    </row>
    <row r="21" spans="1:31" ht="15.6" x14ac:dyDescent="0.3">
      <c r="A21" s="173"/>
      <c r="B21" s="447" t="s">
        <v>149</v>
      </c>
      <c r="C21" s="447"/>
      <c r="D21" s="447"/>
      <c r="E21" s="453">
        <f>J20+J19</f>
        <v>1.05</v>
      </c>
      <c r="F21" s="454"/>
      <c r="G21" s="454"/>
      <c r="H21" s="454"/>
      <c r="I21" s="454"/>
      <c r="J21" s="454"/>
      <c r="K21" s="241"/>
      <c r="L21" s="256"/>
      <c r="M21" s="389"/>
      <c r="N21" s="259"/>
      <c r="O21" s="260"/>
      <c r="P21" s="14"/>
      <c r="Q21" s="195"/>
      <c r="R21" s="261"/>
      <c r="S21" s="262"/>
      <c r="T21" s="263"/>
      <c r="U21" s="262"/>
      <c r="V21" s="262"/>
      <c r="W21" s="262"/>
      <c r="X21" s="264"/>
      <c r="Y21" s="12"/>
      <c r="AE21" s="392"/>
    </row>
    <row r="22" spans="1:31" ht="72" customHeight="1" x14ac:dyDescent="0.3">
      <c r="A22" s="173">
        <v>2029</v>
      </c>
      <c r="B22" s="282" t="s">
        <v>34</v>
      </c>
      <c r="C22" s="286" t="s">
        <v>35</v>
      </c>
      <c r="D22" s="228" t="s">
        <v>53</v>
      </c>
      <c r="E22" s="241"/>
      <c r="F22" s="241">
        <v>39</v>
      </c>
      <c r="G22" s="292"/>
      <c r="H22" s="342">
        <v>0.05</v>
      </c>
      <c r="I22" s="293">
        <f>H22*F22</f>
        <v>1.9500000000000002</v>
      </c>
      <c r="J22" s="293">
        <f>I22/F22</f>
        <v>0.05</v>
      </c>
      <c r="K22" s="241"/>
      <c r="L22" s="256"/>
      <c r="M22" s="389"/>
      <c r="N22" s="259"/>
      <c r="O22" s="260"/>
      <c r="P22" s="14"/>
      <c r="Q22" s="195"/>
      <c r="R22" s="261"/>
      <c r="S22" s="262"/>
      <c r="T22" s="263"/>
      <c r="U22" s="262"/>
      <c r="V22" s="262"/>
      <c r="W22" s="262"/>
      <c r="X22" s="264"/>
      <c r="Y22" s="12"/>
      <c r="AE22" s="392"/>
    </row>
    <row r="23" spans="1:31" ht="63" customHeight="1" x14ac:dyDescent="0.3">
      <c r="A23" s="173">
        <v>2029</v>
      </c>
      <c r="B23" s="106" t="s">
        <v>147</v>
      </c>
      <c r="C23" s="183" t="s">
        <v>139</v>
      </c>
      <c r="D23" s="175" t="s">
        <v>148</v>
      </c>
      <c r="E23" s="241"/>
      <c r="F23" s="241"/>
      <c r="G23" s="292"/>
      <c r="H23" s="292"/>
      <c r="I23" s="293">
        <v>3</v>
      </c>
      <c r="J23" s="293">
        <v>1</v>
      </c>
      <c r="K23" s="241"/>
      <c r="L23" s="256"/>
      <c r="M23" s="389"/>
      <c r="N23" s="259"/>
      <c r="O23" s="260"/>
      <c r="P23" s="14"/>
      <c r="Q23" s="195"/>
      <c r="R23" s="261"/>
      <c r="S23" s="262"/>
      <c r="T23" s="263"/>
      <c r="U23" s="262"/>
      <c r="V23" s="262"/>
      <c r="W23" s="262"/>
      <c r="X23" s="264"/>
      <c r="Y23" s="12"/>
      <c r="AE23" s="392"/>
    </row>
    <row r="24" spans="1:31" ht="15.6" x14ac:dyDescent="0.3">
      <c r="A24" s="173"/>
      <c r="B24" s="447" t="s">
        <v>150</v>
      </c>
      <c r="C24" s="447"/>
      <c r="D24" s="447"/>
      <c r="E24" s="453">
        <f>J23+J22</f>
        <v>1.05</v>
      </c>
      <c r="F24" s="454"/>
      <c r="G24" s="454"/>
      <c r="H24" s="454"/>
      <c r="I24" s="454"/>
      <c r="J24" s="454"/>
      <c r="K24" s="241"/>
      <c r="L24" s="256"/>
      <c r="M24" s="389"/>
      <c r="N24" s="259"/>
      <c r="O24" s="260"/>
      <c r="P24" s="14"/>
      <c r="Q24" s="195"/>
      <c r="R24" s="261"/>
      <c r="S24" s="262"/>
      <c r="T24" s="263"/>
      <c r="U24" s="262"/>
      <c r="V24" s="262"/>
      <c r="W24" s="262"/>
      <c r="X24" s="264"/>
      <c r="Y24" s="12"/>
      <c r="AE24" s="392"/>
    </row>
    <row r="25" spans="1:31" ht="76.5" customHeight="1" x14ac:dyDescent="0.3">
      <c r="A25" s="173">
        <v>2030</v>
      </c>
      <c r="B25" s="282" t="s">
        <v>34</v>
      </c>
      <c r="C25" s="286" t="s">
        <v>35</v>
      </c>
      <c r="D25" s="228" t="s">
        <v>53</v>
      </c>
      <c r="E25" s="241"/>
      <c r="F25" s="241">
        <v>39</v>
      </c>
      <c r="G25" s="292"/>
      <c r="H25" s="342">
        <v>0.05</v>
      </c>
      <c r="I25" s="293">
        <f>H25*F25</f>
        <v>1.9500000000000002</v>
      </c>
      <c r="J25" s="293">
        <f>I25/F25</f>
        <v>0.05</v>
      </c>
      <c r="K25" s="241"/>
      <c r="L25" s="256"/>
      <c r="M25" s="389"/>
      <c r="N25" s="259"/>
      <c r="O25" s="260"/>
      <c r="P25" s="14"/>
      <c r="Q25" s="195"/>
      <c r="R25" s="261"/>
      <c r="S25" s="262"/>
      <c r="T25" s="263"/>
      <c r="U25" s="262"/>
      <c r="V25" s="262"/>
      <c r="W25" s="262"/>
      <c r="X25" s="264"/>
      <c r="Y25" s="12"/>
      <c r="AE25" s="392"/>
    </row>
    <row r="26" spans="1:31" ht="66.75" customHeight="1" x14ac:dyDescent="0.3">
      <c r="A26" s="173">
        <v>2030</v>
      </c>
      <c r="B26" s="106" t="s">
        <v>147</v>
      </c>
      <c r="C26" s="183" t="s">
        <v>139</v>
      </c>
      <c r="D26" s="175" t="s">
        <v>148</v>
      </c>
      <c r="E26" s="241"/>
      <c r="F26" s="241"/>
      <c r="G26" s="292"/>
      <c r="H26" s="292"/>
      <c r="I26" s="293">
        <v>3</v>
      </c>
      <c r="J26" s="293">
        <v>1</v>
      </c>
      <c r="K26" s="241"/>
      <c r="L26" s="256"/>
      <c r="M26" s="389"/>
      <c r="N26" s="259"/>
      <c r="O26" s="260"/>
      <c r="P26" s="14"/>
      <c r="Q26" s="195"/>
      <c r="R26" s="261"/>
      <c r="S26" s="262"/>
      <c r="T26" s="263"/>
      <c r="U26" s="262"/>
      <c r="V26" s="262"/>
      <c r="W26" s="262"/>
      <c r="X26" s="264"/>
      <c r="Y26" s="12"/>
      <c r="AE26" s="392"/>
    </row>
    <row r="27" spans="1:31" ht="15.6" x14ac:dyDescent="0.3">
      <c r="A27" s="285"/>
      <c r="B27" s="447" t="s">
        <v>151</v>
      </c>
      <c r="C27" s="447"/>
      <c r="D27" s="447"/>
      <c r="E27" s="453">
        <f>SUM(J25:J26)</f>
        <v>1.05</v>
      </c>
      <c r="F27" s="454"/>
      <c r="G27" s="454"/>
      <c r="H27" s="454"/>
      <c r="I27" s="454"/>
      <c r="J27" s="454"/>
      <c r="K27" s="241"/>
      <c r="L27" s="256"/>
      <c r="M27" s="389"/>
      <c r="N27" s="259"/>
      <c r="O27" s="260"/>
      <c r="P27" s="14"/>
      <c r="Q27" s="195"/>
      <c r="R27" s="261"/>
      <c r="S27" s="262"/>
      <c r="T27" s="263"/>
      <c r="U27" s="262"/>
      <c r="V27" s="262"/>
      <c r="W27" s="262"/>
      <c r="X27" s="264"/>
      <c r="Y27" s="12"/>
      <c r="AE27" s="392"/>
    </row>
    <row r="28" spans="1:31" ht="62.4" x14ac:dyDescent="0.3">
      <c r="A28" s="173">
        <v>2031</v>
      </c>
      <c r="B28" s="282" t="s">
        <v>34</v>
      </c>
      <c r="C28" s="286" t="s">
        <v>35</v>
      </c>
      <c r="D28" s="228" t="s">
        <v>53</v>
      </c>
      <c r="E28" s="241"/>
      <c r="F28" s="241">
        <v>39</v>
      </c>
      <c r="G28" s="292"/>
      <c r="H28" s="342">
        <v>0.05</v>
      </c>
      <c r="I28" s="293">
        <f>H28*F28</f>
        <v>1.9500000000000002</v>
      </c>
      <c r="J28" s="293">
        <f>I28/F28</f>
        <v>0.05</v>
      </c>
      <c r="K28" s="241"/>
      <c r="L28" s="256"/>
      <c r="M28" s="389"/>
      <c r="N28" s="259"/>
      <c r="O28" s="260"/>
      <c r="P28" s="14"/>
      <c r="Q28" s="195"/>
      <c r="R28" s="261"/>
      <c r="S28" s="262"/>
      <c r="T28" s="263"/>
      <c r="U28" s="262"/>
      <c r="V28" s="262"/>
      <c r="W28" s="262"/>
      <c r="X28" s="264"/>
      <c r="Y28" s="12"/>
      <c r="AE28" s="392"/>
    </row>
    <row r="29" spans="1:31" ht="15.6" x14ac:dyDescent="0.3">
      <c r="A29" s="173"/>
      <c r="B29" s="447" t="s">
        <v>152</v>
      </c>
      <c r="C29" s="447"/>
      <c r="D29" s="447"/>
      <c r="E29" s="453">
        <f>J28</f>
        <v>0.05</v>
      </c>
      <c r="F29" s="454"/>
      <c r="G29" s="454"/>
      <c r="H29" s="454"/>
      <c r="I29" s="454"/>
      <c r="J29" s="454"/>
      <c r="K29" s="241"/>
      <c r="L29" s="256"/>
      <c r="M29" s="389"/>
      <c r="N29" s="259"/>
      <c r="O29" s="260"/>
      <c r="P29" s="14"/>
      <c r="Q29" s="195"/>
      <c r="R29" s="261"/>
      <c r="S29" s="262"/>
      <c r="T29" s="263"/>
      <c r="U29" s="262"/>
      <c r="V29" s="262"/>
      <c r="W29" s="262"/>
      <c r="X29" s="264"/>
      <c r="Y29" s="12"/>
      <c r="AE29" s="392"/>
    </row>
    <row r="30" spans="1:31" ht="62.4" x14ac:dyDescent="0.3">
      <c r="A30" s="173">
        <v>2032</v>
      </c>
      <c r="B30" s="282" t="s">
        <v>34</v>
      </c>
      <c r="C30" s="286" t="s">
        <v>35</v>
      </c>
      <c r="D30" s="228" t="s">
        <v>53</v>
      </c>
      <c r="E30" s="241"/>
      <c r="F30" s="241">
        <v>39</v>
      </c>
      <c r="G30" s="292"/>
      <c r="H30" s="342">
        <v>0.05</v>
      </c>
      <c r="I30" s="293">
        <f>H30*F30</f>
        <v>1.9500000000000002</v>
      </c>
      <c r="J30" s="293">
        <f>I30/F30</f>
        <v>0.05</v>
      </c>
      <c r="K30" s="241"/>
      <c r="L30" s="256"/>
      <c r="M30" s="389"/>
      <c r="N30" s="259"/>
      <c r="O30" s="260"/>
      <c r="P30" s="14"/>
      <c r="Q30" s="195"/>
      <c r="R30" s="261"/>
      <c r="S30" s="262"/>
      <c r="T30" s="263"/>
      <c r="U30" s="262"/>
      <c r="V30" s="262"/>
      <c r="W30" s="262"/>
      <c r="X30" s="264"/>
      <c r="Y30" s="12"/>
      <c r="AE30" s="392"/>
    </row>
    <row r="31" spans="1:31" ht="22.5" customHeight="1" x14ac:dyDescent="0.3">
      <c r="A31" s="455" t="s">
        <v>153</v>
      </c>
      <c r="B31" s="456"/>
      <c r="C31" s="456"/>
      <c r="D31" s="457"/>
      <c r="E31" s="453">
        <f>J30</f>
        <v>0.05</v>
      </c>
      <c r="F31" s="454"/>
      <c r="G31" s="454"/>
      <c r="H31" s="454"/>
      <c r="I31" s="454"/>
      <c r="J31" s="454"/>
      <c r="K31" s="241"/>
      <c r="L31" s="256"/>
      <c r="M31" s="389"/>
      <c r="N31" s="259"/>
      <c r="O31" s="260"/>
      <c r="P31" s="14"/>
      <c r="Q31" s="195"/>
      <c r="R31" s="261"/>
      <c r="S31" s="262"/>
      <c r="T31" s="263"/>
      <c r="U31" s="262"/>
      <c r="V31" s="262"/>
      <c r="W31" s="262"/>
      <c r="X31" s="264"/>
      <c r="Y31" s="12"/>
      <c r="AD31" s="391"/>
      <c r="AE31" s="391"/>
    </row>
    <row r="32" spans="1:31" ht="22.5" customHeight="1" x14ac:dyDescent="0.3">
      <c r="A32" s="449" t="s">
        <v>154</v>
      </c>
      <c r="B32" s="450"/>
      <c r="C32" s="450"/>
      <c r="D32" s="451"/>
      <c r="E32" s="452">
        <f>E31+E29+E27+E24+E21+E18+E16+E14+E12+E6</f>
        <v>22.8</v>
      </c>
      <c r="F32" s="452"/>
      <c r="G32" s="452"/>
      <c r="H32" s="452"/>
      <c r="I32" s="452"/>
      <c r="J32" s="452"/>
      <c r="K32" s="50"/>
      <c r="L32" s="51"/>
      <c r="M32" s="390"/>
      <c r="N32" s="72"/>
      <c r="O32" s="62"/>
      <c r="P32" s="8"/>
      <c r="Q32" s="8"/>
      <c r="R32" s="9"/>
      <c r="S32" s="9"/>
      <c r="T32" s="9"/>
      <c r="U32" s="9"/>
      <c r="V32" s="9"/>
      <c r="W32" s="9"/>
      <c r="X32" s="92"/>
      <c r="Y32" s="92"/>
    </row>
    <row r="34" spans="8:10" x14ac:dyDescent="0.3">
      <c r="H34" t="s">
        <v>155</v>
      </c>
      <c r="J34" s="391">
        <f>J30+J28+J25+J22+J19+J17+J15+J13+J8+J7+J4</f>
        <v>9.5000000000000018</v>
      </c>
    </row>
    <row r="35" spans="8:10" x14ac:dyDescent="0.3">
      <c r="H35" t="s">
        <v>156</v>
      </c>
      <c r="J35" s="391">
        <f>J26+J23+J20+J11+J10+J9+J5</f>
        <v>12.3</v>
      </c>
    </row>
  </sheetData>
  <mergeCells count="42">
    <mergeCell ref="A32:D32"/>
    <mergeCell ref="E32:J32"/>
    <mergeCell ref="E14:J14"/>
    <mergeCell ref="E16:J16"/>
    <mergeCell ref="E27:J27"/>
    <mergeCell ref="E29:J29"/>
    <mergeCell ref="A31:D31"/>
    <mergeCell ref="E31:J31"/>
    <mergeCell ref="E18:J18"/>
    <mergeCell ref="E21:J21"/>
    <mergeCell ref="E24:J24"/>
    <mergeCell ref="B27:D27"/>
    <mergeCell ref="B29:D29"/>
    <mergeCell ref="B16:D16"/>
    <mergeCell ref="B18:D18"/>
    <mergeCell ref="B24:D24"/>
    <mergeCell ref="B14:D14"/>
    <mergeCell ref="B21:D21"/>
    <mergeCell ref="B6:D6"/>
    <mergeCell ref="B12:D12"/>
    <mergeCell ref="P2:P3"/>
    <mergeCell ref="E6:J6"/>
    <mergeCell ref="E12:J12"/>
    <mergeCell ref="Y2:Y3"/>
    <mergeCell ref="K2:K3"/>
    <mergeCell ref="L2:L3"/>
    <mergeCell ref="M2:M3"/>
    <mergeCell ref="N2:N3"/>
    <mergeCell ref="X2:X3"/>
    <mergeCell ref="R2:T2"/>
    <mergeCell ref="U2:W2"/>
    <mergeCell ref="A1:L1"/>
    <mergeCell ref="A2:A3"/>
    <mergeCell ref="B2:B3"/>
    <mergeCell ref="C2:C3"/>
    <mergeCell ref="D2:D3"/>
    <mergeCell ref="E2:E3"/>
    <mergeCell ref="F2:F3"/>
    <mergeCell ref="G2:G3"/>
    <mergeCell ref="H2:H3"/>
    <mergeCell ref="I2:I3"/>
    <mergeCell ref="J2:J3"/>
  </mergeCells>
  <conditionalFormatting sqref="Y9:Y10">
    <cfRule type="colorScale" priority="1">
      <colorScale>
        <cfvo type="min"/>
        <cfvo type="percentile" val="50"/>
        <cfvo type="max"/>
        <color rgb="FFF8696B"/>
        <color rgb="FFFFEB84"/>
        <color rgb="FF63BE7B"/>
      </colorScale>
    </cfRule>
  </conditionalFormatting>
  <conditionalFormatting sqref="Y4:Y8 Y12">
    <cfRule type="colorScale" priority="2">
      <colorScale>
        <cfvo type="min"/>
        <cfvo type="percentile" val="50"/>
        <cfvo type="max"/>
        <color rgb="FFF8696B"/>
        <color rgb="FFFFEB84"/>
        <color rgb="FF63BE7B"/>
      </colorScale>
    </cfRule>
  </conditionalFormatting>
  <conditionalFormatting sqref="Y13:Y31">
    <cfRule type="colorScale" priority="3">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8" fitToHeight="0" orientation="landscape" r:id="rId1"/>
  <headerFooter>
    <oddHeader>&amp;F</oddHeader>
    <oddFooter xml:space="preserve">&amp;L&amp;F&amp;C&amp;P av &amp;N&amp;R&amp;8Asplan Viak AS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7"/>
  <sheetViews>
    <sheetView showGridLines="0" topLeftCell="A12" zoomScaleNormal="100" zoomScaleSheetLayoutView="100" workbookViewId="0">
      <pane xSplit="1" topLeftCell="B1" activePane="topRight" state="frozen"/>
      <selection activeCell="A10" sqref="A10"/>
      <selection pane="topRight" activeCell="N20" sqref="N20"/>
    </sheetView>
  </sheetViews>
  <sheetFormatPr baseColWidth="10" defaultColWidth="11.44140625" defaultRowHeight="14.4" x14ac:dyDescent="0.3"/>
  <cols>
    <col min="1" max="1" width="4.6640625" style="12" customWidth="1"/>
    <col min="2" max="2" width="20.33203125" style="1" customWidth="1"/>
    <col min="3" max="3" width="111.44140625" style="27" customWidth="1"/>
    <col min="4" max="5" width="8.6640625" style="14" customWidth="1"/>
    <col min="6" max="6" width="11.33203125" style="14" customWidth="1"/>
    <col min="7" max="7" width="12" style="16" customWidth="1"/>
    <col min="8" max="8" width="10.5546875" style="16" customWidth="1"/>
    <col min="9" max="9" width="12.6640625" style="34" hidden="1" customWidth="1"/>
    <col min="10" max="10" width="9.6640625" style="34" customWidth="1"/>
    <col min="11" max="11" width="17.33203125" style="205" hidden="1" customWidth="1"/>
    <col min="12" max="12" width="9.5546875" style="8" hidden="1" customWidth="1"/>
    <col min="13" max="13" width="6.109375" customWidth="1"/>
    <col min="14" max="15" width="5" customWidth="1"/>
    <col min="16" max="16" width="6.88671875" customWidth="1"/>
    <col min="17" max="18" width="6" customWidth="1"/>
    <col min="19" max="19" width="7.109375" customWidth="1"/>
    <col min="20" max="20" width="7.109375" style="12" customWidth="1"/>
    <col min="21" max="21" width="50.109375" style="192" customWidth="1"/>
    <col min="22" max="22" width="46" customWidth="1"/>
  </cols>
  <sheetData>
    <row r="1" spans="1:27" ht="31.5" customHeight="1" x14ac:dyDescent="0.3">
      <c r="A1" s="463" t="s">
        <v>157</v>
      </c>
      <c r="B1" s="463"/>
      <c r="C1" s="463"/>
      <c r="D1" s="463"/>
      <c r="E1" s="463"/>
      <c r="F1" s="463"/>
      <c r="G1" s="463"/>
      <c r="H1" s="463"/>
      <c r="I1" s="463"/>
      <c r="J1" s="463"/>
      <c r="K1" s="463"/>
      <c r="L1" s="123"/>
      <c r="M1" s="114"/>
      <c r="N1" s="114"/>
      <c r="S1" s="114"/>
      <c r="T1" s="137"/>
    </row>
    <row r="2" spans="1:27" ht="12" customHeight="1" x14ac:dyDescent="0.3">
      <c r="A2" s="303"/>
      <c r="B2" s="303"/>
      <c r="C2" s="303"/>
      <c r="D2" s="303"/>
      <c r="E2" s="303"/>
      <c r="F2" s="303"/>
      <c r="G2" s="303"/>
      <c r="H2" s="303"/>
      <c r="I2" s="303"/>
      <c r="J2" s="303"/>
      <c r="K2" s="303"/>
      <c r="L2" s="123"/>
      <c r="M2" s="114"/>
      <c r="N2" s="114"/>
      <c r="P2" s="462" t="s">
        <v>158</v>
      </c>
      <c r="Q2" s="462"/>
      <c r="R2" s="462"/>
      <c r="S2" s="114"/>
      <c r="T2" s="137"/>
    </row>
    <row r="3" spans="1:27" ht="15" customHeight="1" x14ac:dyDescent="0.3">
      <c r="A3" s="303"/>
      <c r="B3" s="303"/>
      <c r="C3" s="303"/>
      <c r="D3" s="303"/>
      <c r="E3" s="303"/>
      <c r="F3" s="303"/>
      <c r="G3" s="303"/>
      <c r="H3" s="303"/>
      <c r="I3" s="303"/>
      <c r="J3" s="303"/>
      <c r="K3" s="303"/>
      <c r="L3" s="123"/>
      <c r="M3" s="114"/>
      <c r="N3" s="114"/>
      <c r="P3" s="306">
        <v>0.5</v>
      </c>
      <c r="Q3" s="63" t="s">
        <v>6</v>
      </c>
      <c r="R3" s="308"/>
      <c r="S3" s="114"/>
      <c r="T3" s="137"/>
    </row>
    <row r="4" spans="1:27" ht="14.25" customHeight="1" x14ac:dyDescent="0.3">
      <c r="A4" s="464"/>
      <c r="B4" s="464"/>
      <c r="C4" s="464"/>
      <c r="D4" s="460"/>
      <c r="E4" s="460"/>
      <c r="F4" s="460"/>
      <c r="G4" s="461"/>
      <c r="H4" s="461"/>
      <c r="I4" s="461"/>
      <c r="J4" s="461"/>
      <c r="K4" s="461"/>
      <c r="L4" s="461"/>
      <c r="M4" s="461"/>
      <c r="N4" s="461"/>
      <c r="P4" s="307">
        <v>0</v>
      </c>
      <c r="Q4" s="63" t="s">
        <v>159</v>
      </c>
      <c r="R4" s="308"/>
      <c r="S4" s="114"/>
      <c r="T4" s="137"/>
    </row>
    <row r="5" spans="1:27" ht="15.75" customHeight="1" thickBot="1" x14ac:dyDescent="0.35">
      <c r="A5" s="124"/>
      <c r="B5" s="467"/>
      <c r="C5" s="468"/>
      <c r="P5" s="306">
        <v>0.5</v>
      </c>
      <c r="Q5" s="63" t="s">
        <v>30</v>
      </c>
      <c r="R5" s="308"/>
      <c r="S5" s="114"/>
      <c r="T5" s="137"/>
    </row>
    <row r="6" spans="1:27" ht="58.5" customHeight="1" x14ac:dyDescent="0.3">
      <c r="A6" s="207" t="s">
        <v>0</v>
      </c>
      <c r="B6" s="125" t="s">
        <v>160</v>
      </c>
      <c r="C6" s="125" t="s">
        <v>8</v>
      </c>
      <c r="D6" s="154" t="s">
        <v>9</v>
      </c>
      <c r="E6" s="154" t="s">
        <v>10</v>
      </c>
      <c r="F6" s="154" t="s">
        <v>12</v>
      </c>
      <c r="G6" s="155" t="s">
        <v>161</v>
      </c>
      <c r="H6" s="155" t="s">
        <v>162</v>
      </c>
      <c r="I6" s="156" t="s">
        <v>163</v>
      </c>
      <c r="J6" s="206" t="s">
        <v>164</v>
      </c>
      <c r="K6" s="200" t="s">
        <v>18</v>
      </c>
      <c r="L6" s="167" t="s">
        <v>165</v>
      </c>
      <c r="M6" s="465" t="s">
        <v>24</v>
      </c>
      <c r="N6" s="465"/>
      <c r="O6" s="465"/>
      <c r="P6" s="466" t="s">
        <v>5</v>
      </c>
      <c r="Q6" s="466"/>
      <c r="R6" s="466"/>
      <c r="S6" s="223" t="s">
        <v>2</v>
      </c>
      <c r="T6" s="305" t="s">
        <v>166</v>
      </c>
      <c r="U6" s="230" t="s">
        <v>167</v>
      </c>
    </row>
    <row r="7" spans="1:27" ht="95.25" customHeight="1" x14ac:dyDescent="0.3">
      <c r="A7" s="181" t="s">
        <v>43</v>
      </c>
      <c r="B7" s="182" t="s">
        <v>168</v>
      </c>
      <c r="C7" s="235" t="s">
        <v>169</v>
      </c>
      <c r="D7" s="186" t="s">
        <v>170</v>
      </c>
      <c r="E7" s="186">
        <v>4</v>
      </c>
      <c r="F7" s="221">
        <v>2000000</v>
      </c>
      <c r="G7" s="274">
        <f>E7*F7/1000000</f>
        <v>8</v>
      </c>
      <c r="H7" s="287">
        <f>G7/4</f>
        <v>2</v>
      </c>
      <c r="I7"/>
      <c r="J7" s="188">
        <f t="shared" ref="J7:J12" si="0">((G7-H$19)/(H$18-H$19))*2+1</f>
        <v>2.6479999999999997</v>
      </c>
      <c r="K7" s="189"/>
      <c r="L7" s="183"/>
      <c r="M7" s="190">
        <f t="shared" ref="M7:M11" si="1">J7</f>
        <v>2.6479999999999997</v>
      </c>
      <c r="N7" s="191">
        <v>1</v>
      </c>
      <c r="O7" s="227">
        <v>3</v>
      </c>
      <c r="P7" s="226">
        <f t="shared" ref="P7:P12" si="2">$P$3</f>
        <v>0.5</v>
      </c>
      <c r="Q7" s="226">
        <f t="shared" ref="Q7:Q12" si="3">$P$4</f>
        <v>0</v>
      </c>
      <c r="R7" s="226">
        <f t="shared" ref="R7:R12" si="4">$P$5</f>
        <v>0.5</v>
      </c>
      <c r="S7" s="224">
        <f t="shared" ref="S7:S12" si="5">M7*$P$3+N7*$P$4+O7*$P$5</f>
        <v>2.8239999999999998</v>
      </c>
      <c r="T7" s="229">
        <f>_xlfn.RANK.EQ(S7,(S$7:S$11),0)</f>
        <v>4</v>
      </c>
      <c r="U7" s="242" t="s">
        <v>171</v>
      </c>
      <c r="AA7" s="126" t="s">
        <v>172</v>
      </c>
    </row>
    <row r="8" spans="1:27" ht="131.25" customHeight="1" x14ac:dyDescent="0.3">
      <c r="A8" s="181" t="s">
        <v>46</v>
      </c>
      <c r="B8" s="182" t="s">
        <v>47</v>
      </c>
      <c r="C8" s="235" t="s">
        <v>173</v>
      </c>
      <c r="D8" s="176">
        <v>3000</v>
      </c>
      <c r="E8" s="176"/>
      <c r="F8" s="196">
        <v>4000</v>
      </c>
      <c r="G8" s="198">
        <f>D8*F8/1000000</f>
        <v>12</v>
      </c>
      <c r="H8" s="198">
        <f>G8/10</f>
        <v>1.2</v>
      </c>
      <c r="I8" s="188"/>
      <c r="J8" s="188">
        <f t="shared" si="0"/>
        <v>2.4651428571428573</v>
      </c>
      <c r="K8" s="189"/>
      <c r="L8" s="183"/>
      <c r="M8" s="190">
        <f t="shared" si="1"/>
        <v>2.4651428571428573</v>
      </c>
      <c r="N8" s="191">
        <v>1</v>
      </c>
      <c r="O8" s="227">
        <v>3</v>
      </c>
      <c r="P8" s="226">
        <f t="shared" si="2"/>
        <v>0.5</v>
      </c>
      <c r="Q8" s="226">
        <f t="shared" si="3"/>
        <v>0</v>
      </c>
      <c r="R8" s="226">
        <f t="shared" si="4"/>
        <v>0.5</v>
      </c>
      <c r="S8" s="224">
        <f t="shared" si="5"/>
        <v>2.7325714285714287</v>
      </c>
      <c r="T8" s="229">
        <f>_xlfn.RANK.EQ(S8,(S$7:S$11),0)</f>
        <v>5</v>
      </c>
      <c r="U8" s="231" t="s">
        <v>174</v>
      </c>
    </row>
    <row r="9" spans="1:27" ht="57.75" customHeight="1" x14ac:dyDescent="0.3">
      <c r="A9" s="181" t="s">
        <v>49</v>
      </c>
      <c r="B9" s="183" t="s">
        <v>50</v>
      </c>
      <c r="C9" s="228" t="s">
        <v>175</v>
      </c>
      <c r="D9" s="187"/>
      <c r="E9" s="186">
        <v>50</v>
      </c>
      <c r="F9" s="225">
        <v>100000</v>
      </c>
      <c r="G9" s="199">
        <f>E9*F9/1000000</f>
        <v>5</v>
      </c>
      <c r="H9" s="199">
        <f>G9/10</f>
        <v>0.5</v>
      </c>
      <c r="I9" s="175"/>
      <c r="J9" s="188">
        <f t="shared" si="0"/>
        <v>2.7851428571428567</v>
      </c>
      <c r="K9" s="175"/>
      <c r="L9" s="175"/>
      <c r="M9" s="190">
        <f t="shared" si="1"/>
        <v>2.7851428571428567</v>
      </c>
      <c r="N9" s="175">
        <v>1</v>
      </c>
      <c r="O9" s="228">
        <v>3</v>
      </c>
      <c r="P9" s="226">
        <f t="shared" si="2"/>
        <v>0.5</v>
      </c>
      <c r="Q9" s="226">
        <f t="shared" si="3"/>
        <v>0</v>
      </c>
      <c r="R9" s="226">
        <f t="shared" si="4"/>
        <v>0.5</v>
      </c>
      <c r="S9" s="224">
        <f t="shared" si="5"/>
        <v>2.8925714285714283</v>
      </c>
      <c r="T9" s="229">
        <f>_xlfn.RANK.EQ(S9,(S$7:S$11),0)</f>
        <v>3</v>
      </c>
      <c r="U9" s="231" t="s">
        <v>176</v>
      </c>
    </row>
    <row r="10" spans="1:27" s="9" customFormat="1" ht="58.5" customHeight="1" x14ac:dyDescent="0.3">
      <c r="A10" s="183" t="s">
        <v>132</v>
      </c>
      <c r="B10" s="183" t="s">
        <v>133</v>
      </c>
      <c r="C10" s="228" t="s">
        <v>177</v>
      </c>
      <c r="D10" s="187"/>
      <c r="E10" s="186">
        <v>10</v>
      </c>
      <c r="F10" s="225">
        <v>100000</v>
      </c>
      <c r="G10" s="199">
        <f>E10*F10/1000000</f>
        <v>1</v>
      </c>
      <c r="H10" s="199">
        <f>G10/2</f>
        <v>0.5</v>
      </c>
      <c r="I10" s="175"/>
      <c r="J10" s="188">
        <f t="shared" si="0"/>
        <v>2.968</v>
      </c>
      <c r="K10" s="175"/>
      <c r="L10" s="175"/>
      <c r="M10" s="190">
        <f t="shared" si="1"/>
        <v>2.968</v>
      </c>
      <c r="N10" s="175">
        <v>1</v>
      </c>
      <c r="O10" s="228">
        <v>3</v>
      </c>
      <c r="P10" s="226">
        <f t="shared" si="2"/>
        <v>0.5</v>
      </c>
      <c r="Q10" s="226">
        <f t="shared" si="3"/>
        <v>0</v>
      </c>
      <c r="R10" s="226">
        <f t="shared" si="4"/>
        <v>0.5</v>
      </c>
      <c r="S10" s="224">
        <f t="shared" si="5"/>
        <v>2.984</v>
      </c>
      <c r="T10" s="229">
        <f>_xlfn.RANK.EQ(S10,(S$7:S$11),0)</f>
        <v>2</v>
      </c>
      <c r="U10" s="231" t="s">
        <v>176</v>
      </c>
    </row>
    <row r="11" spans="1:27" s="9" customFormat="1" ht="80.25" customHeight="1" x14ac:dyDescent="0.3">
      <c r="A11" s="183" t="s">
        <v>64</v>
      </c>
      <c r="B11" s="183" t="s">
        <v>65</v>
      </c>
      <c r="C11" s="236" t="s">
        <v>178</v>
      </c>
      <c r="D11" s="187"/>
      <c r="E11" s="176">
        <v>3</v>
      </c>
      <c r="F11" s="225">
        <v>250000</v>
      </c>
      <c r="G11" s="199">
        <f>E11*F11/1000000</f>
        <v>0.75</v>
      </c>
      <c r="H11" s="233" t="s">
        <v>170</v>
      </c>
      <c r="I11" s="175"/>
      <c r="J11" s="188">
        <f t="shared" si="0"/>
        <v>2.9794285714285715</v>
      </c>
      <c r="K11" s="175"/>
      <c r="L11" s="175"/>
      <c r="M11" s="190">
        <f t="shared" si="1"/>
        <v>2.9794285714285715</v>
      </c>
      <c r="N11" s="175">
        <v>1</v>
      </c>
      <c r="O11" s="228">
        <v>3</v>
      </c>
      <c r="P11" s="226">
        <f t="shared" si="2"/>
        <v>0.5</v>
      </c>
      <c r="Q11" s="226">
        <f t="shared" si="3"/>
        <v>0</v>
      </c>
      <c r="R11" s="226">
        <f t="shared" si="4"/>
        <v>0.5</v>
      </c>
      <c r="S11" s="224">
        <f t="shared" si="5"/>
        <v>2.9897142857142858</v>
      </c>
      <c r="T11" s="229">
        <f>_xlfn.RANK.EQ(S11,(S$7:S$11),0)</f>
        <v>1</v>
      </c>
      <c r="U11" s="231">
        <v>2025</v>
      </c>
    </row>
    <row r="12" spans="1:27" s="9" customFormat="1" ht="83.25" customHeight="1" x14ac:dyDescent="0.3">
      <c r="A12" s="106" t="s">
        <v>67</v>
      </c>
      <c r="B12" s="183" t="s">
        <v>68</v>
      </c>
      <c r="C12" s="175" t="s">
        <v>179</v>
      </c>
      <c r="D12" s="187"/>
      <c r="E12" s="176"/>
      <c r="F12" s="197"/>
      <c r="G12" s="199">
        <v>44.05</v>
      </c>
      <c r="H12" s="233">
        <f>G12/3</f>
        <v>14.683333333333332</v>
      </c>
      <c r="I12" s="175"/>
      <c r="J12" s="188">
        <f t="shared" si="0"/>
        <v>1</v>
      </c>
      <c r="K12" s="175"/>
      <c r="L12" s="139"/>
      <c r="M12" s="297">
        <f>J12</f>
        <v>1</v>
      </c>
      <c r="N12" s="228">
        <v>1</v>
      </c>
      <c r="O12" s="228">
        <v>3</v>
      </c>
      <c r="P12" s="226">
        <f t="shared" si="2"/>
        <v>0.5</v>
      </c>
      <c r="Q12" s="226">
        <f t="shared" si="3"/>
        <v>0</v>
      </c>
      <c r="R12" s="226">
        <f t="shared" si="4"/>
        <v>0.5</v>
      </c>
      <c r="S12" s="224">
        <f t="shared" si="5"/>
        <v>2</v>
      </c>
      <c r="T12" s="229">
        <f>_xlfn.RANK.EQ(S12,(S$7:S$12),0)</f>
        <v>6</v>
      </c>
      <c r="U12" s="231" t="s">
        <v>180</v>
      </c>
      <c r="V12" s="8"/>
    </row>
    <row r="13" spans="1:27" s="9" customFormat="1" ht="56.25" customHeight="1" x14ac:dyDescent="0.3">
      <c r="A13" s="106" t="s">
        <v>138</v>
      </c>
      <c r="B13" s="183" t="s">
        <v>139</v>
      </c>
      <c r="C13" s="175" t="s">
        <v>181</v>
      </c>
      <c r="D13" s="187"/>
      <c r="E13" s="176">
        <v>1</v>
      </c>
      <c r="F13" s="225">
        <v>300000</v>
      </c>
      <c r="G13" s="199">
        <f>F13/1000000</f>
        <v>0.3</v>
      </c>
      <c r="H13" s="233" t="s">
        <v>170</v>
      </c>
      <c r="I13" s="175"/>
      <c r="J13" s="188"/>
      <c r="K13" s="175"/>
      <c r="L13" s="139"/>
      <c r="M13" s="237"/>
      <c r="N13" s="220"/>
      <c r="O13" s="220"/>
      <c r="P13" s="226"/>
      <c r="Q13" s="226"/>
      <c r="R13" s="226"/>
      <c r="S13" s="224"/>
      <c r="T13" s="284"/>
      <c r="U13" s="231" t="s">
        <v>182</v>
      </c>
      <c r="V13" s="8"/>
    </row>
    <row r="14" spans="1:27" s="9" customFormat="1" ht="58.5" customHeight="1" x14ac:dyDescent="0.3">
      <c r="A14" s="106" t="s">
        <v>147</v>
      </c>
      <c r="B14" s="183" t="s">
        <v>139</v>
      </c>
      <c r="C14" s="175" t="s">
        <v>183</v>
      </c>
      <c r="D14" s="187"/>
      <c r="E14" s="176"/>
      <c r="F14" s="197"/>
      <c r="G14" s="199">
        <v>3</v>
      </c>
      <c r="H14" s="233">
        <f>G14/3</f>
        <v>1</v>
      </c>
      <c r="I14" s="175"/>
      <c r="J14" s="188"/>
      <c r="K14" s="175"/>
      <c r="L14" s="139"/>
      <c r="M14" s="237"/>
      <c r="N14" s="220"/>
      <c r="O14" s="220"/>
      <c r="P14" s="226"/>
      <c r="Q14" s="226"/>
      <c r="R14" s="226"/>
      <c r="S14" s="224"/>
      <c r="T14" s="284"/>
      <c r="U14" s="231" t="s">
        <v>184</v>
      </c>
      <c r="V14" s="8"/>
    </row>
    <row r="15" spans="1:27" s="9" customFormat="1" ht="62.25" customHeight="1" x14ac:dyDescent="0.3">
      <c r="A15" s="106" t="s">
        <v>141</v>
      </c>
      <c r="B15" s="183" t="s">
        <v>139</v>
      </c>
      <c r="C15" s="175" t="s">
        <v>185</v>
      </c>
      <c r="D15" s="187">
        <v>2000</v>
      </c>
      <c r="E15" s="176"/>
      <c r="F15" s="225">
        <v>4000</v>
      </c>
      <c r="G15" s="199">
        <v>8</v>
      </c>
      <c r="H15" s="233">
        <f>G15</f>
        <v>8</v>
      </c>
      <c r="I15" s="175"/>
      <c r="J15" s="188"/>
      <c r="K15" s="175"/>
      <c r="L15" s="139"/>
      <c r="M15" s="237"/>
      <c r="N15" s="220"/>
      <c r="O15" s="220"/>
      <c r="P15" s="226"/>
      <c r="Q15" s="226"/>
      <c r="R15" s="226"/>
      <c r="S15" s="224"/>
      <c r="T15" s="284"/>
      <c r="U15" s="231" t="s">
        <v>182</v>
      </c>
      <c r="V15" s="8"/>
    </row>
    <row r="16" spans="1:27" s="9" customFormat="1" ht="15.6" x14ac:dyDescent="0.3">
      <c r="A16" s="176"/>
      <c r="B16" s="127" t="s">
        <v>186</v>
      </c>
      <c r="C16" s="128"/>
      <c r="D16" s="129">
        <f>SUM(D6:D11)</f>
        <v>3000</v>
      </c>
      <c r="E16" s="129"/>
      <c r="F16" s="129"/>
      <c r="G16" s="232">
        <f>SUM(G7:G15)</f>
        <v>82.1</v>
      </c>
      <c r="H16" s="232"/>
      <c r="I16" s="129">
        <f>SUM(I6:I11)</f>
        <v>0</v>
      </c>
      <c r="J16" s="129"/>
      <c r="K16" s="201"/>
      <c r="L16" s="123"/>
      <c r="M16" s="288"/>
      <c r="N16" s="288"/>
      <c r="O16" s="288"/>
      <c r="P16" s="288"/>
      <c r="Q16" s="288"/>
      <c r="R16" s="288"/>
      <c r="S16" s="288"/>
      <c r="T16" s="284"/>
      <c r="U16" s="210"/>
    </row>
    <row r="17" spans="1:21" s="22" customFormat="1" ht="15.6" x14ac:dyDescent="0.3">
      <c r="A17" s="130"/>
      <c r="B17" s="131"/>
      <c r="C17" s="132"/>
      <c r="D17" s="133"/>
      <c r="E17" s="133"/>
      <c r="F17" s="133"/>
      <c r="G17" s="327"/>
      <c r="H17" s="134"/>
      <c r="I17" s="134"/>
      <c r="J17" s="134"/>
      <c r="K17" s="202"/>
      <c r="L17" s="135"/>
      <c r="M17" s="136"/>
      <c r="N17" s="136"/>
      <c r="O17" s="136"/>
      <c r="P17" s="136"/>
      <c r="Q17" s="136"/>
      <c r="R17" s="136"/>
      <c r="S17" s="136"/>
      <c r="T17" s="130"/>
      <c r="U17" s="17"/>
    </row>
    <row r="18" spans="1:21" ht="15.6" x14ac:dyDescent="0.3">
      <c r="A18" s="137"/>
      <c r="B18" s="138"/>
      <c r="C18" s="139"/>
      <c r="D18" s="140"/>
      <c r="E18" s="140"/>
      <c r="F18" s="140"/>
      <c r="G18" s="141" t="s">
        <v>187</v>
      </c>
      <c r="H18" s="142">
        <f>MIN(G7:G15)</f>
        <v>0.3</v>
      </c>
      <c r="J18" s="143"/>
      <c r="K18" s="203"/>
      <c r="L18" s="123"/>
      <c r="M18" s="114"/>
      <c r="N18" s="114"/>
      <c r="O18" s="114"/>
      <c r="P18" s="114"/>
      <c r="Q18" s="114"/>
      <c r="R18" s="114"/>
      <c r="S18" s="114"/>
      <c r="T18" s="137"/>
    </row>
    <row r="19" spans="1:21" ht="15.6" x14ac:dyDescent="0.3">
      <c r="A19" s="137"/>
      <c r="B19" s="144"/>
      <c r="C19" s="139"/>
      <c r="D19" s="140"/>
      <c r="E19" s="140"/>
      <c r="F19" s="140"/>
      <c r="G19" s="141" t="s">
        <v>123</v>
      </c>
      <c r="H19" s="145">
        <f>MAXA(G7:G15)</f>
        <v>44.05</v>
      </c>
      <c r="J19" s="143"/>
      <c r="K19" s="203"/>
      <c r="L19" s="123"/>
      <c r="M19" s="114"/>
      <c r="N19" s="114"/>
      <c r="O19" s="114"/>
      <c r="P19" s="114"/>
      <c r="Q19" s="114"/>
      <c r="R19" s="114"/>
      <c r="S19" s="114"/>
      <c r="T19" s="137"/>
    </row>
    <row r="20" spans="1:21" ht="15.6" x14ac:dyDescent="0.3">
      <c r="A20" s="137"/>
      <c r="B20" s="138"/>
      <c r="C20" s="139"/>
      <c r="D20" s="140"/>
      <c r="E20" s="140"/>
      <c r="F20" s="140"/>
      <c r="G20" s="146"/>
      <c r="H20" s="146"/>
      <c r="I20" s="143"/>
      <c r="J20" s="143"/>
      <c r="K20" s="203"/>
      <c r="L20" s="123"/>
      <c r="M20" s="114"/>
      <c r="N20" s="114"/>
      <c r="O20" s="114"/>
      <c r="P20" s="114"/>
      <c r="Q20" s="114"/>
      <c r="R20" s="114"/>
      <c r="S20" s="114"/>
      <c r="T20" s="137"/>
    </row>
    <row r="21" spans="1:21" ht="15.6" x14ac:dyDescent="0.3">
      <c r="A21" s="137"/>
      <c r="B21" s="138"/>
      <c r="C21" s="139"/>
      <c r="D21" s="140"/>
      <c r="E21" s="140"/>
      <c r="F21" s="140"/>
      <c r="G21" s="146"/>
      <c r="H21" s="146"/>
      <c r="I21" s="143"/>
      <c r="J21" s="143"/>
      <c r="K21" s="203"/>
      <c r="L21" s="123"/>
      <c r="M21" s="114"/>
      <c r="N21" s="114"/>
      <c r="O21" s="114"/>
      <c r="P21" s="114"/>
      <c r="Q21" s="114"/>
      <c r="R21" s="114"/>
      <c r="S21" s="114"/>
      <c r="T21" s="137"/>
    </row>
    <row r="22" spans="1:21" ht="15.6" x14ac:dyDescent="0.3">
      <c r="A22" s="137"/>
      <c r="B22" s="138"/>
      <c r="C22" s="139"/>
      <c r="D22" s="140"/>
      <c r="E22" s="140"/>
      <c r="F22" s="140"/>
      <c r="G22" s="146"/>
      <c r="H22" s="146"/>
      <c r="I22" s="143"/>
      <c r="J22" s="143"/>
      <c r="K22" s="203"/>
      <c r="L22" s="123"/>
      <c r="M22" s="114"/>
      <c r="N22" s="114"/>
      <c r="O22" s="114"/>
      <c r="P22" s="114"/>
      <c r="Q22" s="114"/>
      <c r="R22" s="114"/>
      <c r="S22" s="114"/>
      <c r="T22" s="137"/>
    </row>
    <row r="23" spans="1:21" ht="15.6" x14ac:dyDescent="0.3">
      <c r="A23" s="147"/>
      <c r="B23" s="148"/>
      <c r="C23" s="149"/>
      <c r="D23" s="150"/>
      <c r="E23" s="150"/>
      <c r="F23" s="150"/>
      <c r="G23" s="151" t="s">
        <v>186</v>
      </c>
      <c r="H23" s="151"/>
      <c r="I23" s="151">
        <f>SUM(I7:I11)</f>
        <v>0</v>
      </c>
      <c r="J23" s="151"/>
      <c r="K23" s="204"/>
      <c r="L23" s="152"/>
      <c r="M23" s="153"/>
      <c r="N23" s="153"/>
      <c r="O23" s="153"/>
      <c r="P23" s="153"/>
      <c r="Q23" s="153"/>
      <c r="R23" s="153"/>
      <c r="S23" s="153"/>
      <c r="T23" s="147"/>
    </row>
    <row r="26" spans="1:21" ht="33" customHeight="1" thickBot="1" x14ac:dyDescent="0.35">
      <c r="D26" s="458" t="s">
        <v>188</v>
      </c>
      <c r="E26" s="459"/>
      <c r="F26" s="459"/>
      <c r="G26" s="459"/>
      <c r="H26" s="459"/>
      <c r="I26" s="459"/>
      <c r="J26" s="459"/>
      <c r="K26" s="459"/>
      <c r="L26" s="459"/>
      <c r="M26" s="459"/>
      <c r="N26" s="459"/>
    </row>
    <row r="27" spans="1:21" ht="33" customHeight="1" x14ac:dyDescent="0.3"/>
  </sheetData>
  <mergeCells count="8">
    <mergeCell ref="D26:N26"/>
    <mergeCell ref="D4:N4"/>
    <mergeCell ref="P2:R2"/>
    <mergeCell ref="A1:K1"/>
    <mergeCell ref="A4:C4"/>
    <mergeCell ref="M6:O6"/>
    <mergeCell ref="P6:R6"/>
    <mergeCell ref="B5:C5"/>
  </mergeCells>
  <conditionalFormatting sqref="T7:T11">
    <cfRule type="colorScale" priority="17">
      <colorScale>
        <cfvo type="min"/>
        <cfvo type="percentile" val="50"/>
        <cfvo type="max"/>
        <color rgb="FFF8696B"/>
        <color rgb="FFFFEB84"/>
        <color rgb="FF63BE7B"/>
      </colorScale>
    </cfRule>
  </conditionalFormatting>
  <conditionalFormatting sqref="AA7">
    <cfRule type="colorScale" priority="2">
      <colorScale>
        <cfvo type="min"/>
        <cfvo type="percentile" val="50"/>
        <cfvo type="max"/>
        <color rgb="FFF8696B"/>
        <color rgb="FFFFEB84"/>
        <color rgb="FF63BE7B"/>
      </colorScale>
    </cfRule>
  </conditionalFormatting>
  <conditionalFormatting sqref="T12:T15">
    <cfRule type="colorScale" priority="1">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scale="51" orientation="landscape" r:id="rId1"/>
  <headerFooter>
    <oddHeader>&amp;CTiltaksliste avløp</oddHeader>
    <oddFooter>&amp;CTiltaksliste - Kommunedelplan VAO Krødsherad kommune</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F033-8CCC-4F77-8F8F-B81EF433242A}">
  <sheetPr>
    <pageSetUpPr fitToPage="1"/>
  </sheetPr>
  <dimension ref="A1:AD40"/>
  <sheetViews>
    <sheetView tabSelected="1" topLeftCell="A3" zoomScale="85" zoomScaleNormal="85" zoomScaleSheetLayoutView="90" workbookViewId="0">
      <pane ySplit="6" topLeftCell="A13" activePane="bottomLeft" state="frozen"/>
      <selection activeCell="A3" sqref="A3"/>
      <selection pane="bottomLeft" activeCell="B26" sqref="B26:B27"/>
    </sheetView>
  </sheetViews>
  <sheetFormatPr baseColWidth="10" defaultColWidth="11.44140625" defaultRowHeight="21" customHeight="1" x14ac:dyDescent="0.3"/>
  <cols>
    <col min="1" max="1" width="5.33203125" style="12" customWidth="1"/>
    <col min="2" max="2" width="76.44140625" style="1" customWidth="1"/>
    <col min="3" max="3" width="57.6640625" style="27" hidden="1" customWidth="1"/>
    <col min="4" max="4" width="7.88671875" style="14" hidden="1" customWidth="1"/>
    <col min="5" max="5" width="9.33203125" style="14" hidden="1" customWidth="1"/>
    <col min="6" max="6" width="7.5546875" style="14" hidden="1" customWidth="1"/>
    <col min="7" max="7" width="6.88671875" style="14" hidden="1" customWidth="1"/>
    <col min="8" max="8" width="32.109375" style="14" hidden="1" customWidth="1"/>
    <col min="9" max="9" width="10.109375" style="100" customWidth="1"/>
    <col min="10" max="10" width="7.6640625" style="100" hidden="1" customWidth="1"/>
    <col min="11" max="11" width="7.88671875" style="34" hidden="1" customWidth="1"/>
    <col min="12" max="12" width="17.5546875" style="14" hidden="1" customWidth="1"/>
    <col min="13" max="13" width="17.6640625" style="5" hidden="1" customWidth="1"/>
    <col min="14" max="14" width="15.44140625" hidden="1" customWidth="1"/>
    <col min="15" max="15" width="11.44140625" hidden="1" customWidth="1"/>
    <col min="16" max="18" width="6.44140625" customWidth="1"/>
    <col min="19" max="19" width="8.44140625" hidden="1" customWidth="1"/>
    <col min="20" max="20" width="10.33203125" hidden="1" customWidth="1"/>
    <col min="21" max="21" width="6.88671875" hidden="1" customWidth="1"/>
    <col min="22" max="22" width="7.5546875" customWidth="1"/>
    <col min="23" max="23" width="11.6640625" style="75" customWidth="1"/>
    <col min="24" max="24" width="11.6640625" style="75" hidden="1" customWidth="1"/>
    <col min="25" max="25" width="14" style="108" hidden="1" customWidth="1"/>
  </cols>
  <sheetData>
    <row r="1" spans="1:30" ht="21" customHeight="1" x14ac:dyDescent="0.3">
      <c r="Q1" s="115" t="s">
        <v>189</v>
      </c>
    </row>
    <row r="2" spans="1:30" ht="21" customHeight="1" x14ac:dyDescent="0.3">
      <c r="S2" s="63" t="s">
        <v>5</v>
      </c>
      <c r="T2" s="63" t="s">
        <v>6</v>
      </c>
      <c r="U2" s="65">
        <v>0.5</v>
      </c>
    </row>
    <row r="3" spans="1:30" ht="21" customHeight="1" x14ac:dyDescent="0.3">
      <c r="A3"/>
      <c r="B3"/>
      <c r="C3"/>
      <c r="D3"/>
      <c r="E3"/>
      <c r="F3"/>
      <c r="G3"/>
      <c r="H3"/>
      <c r="I3"/>
      <c r="J3"/>
      <c r="K3"/>
      <c r="L3"/>
      <c r="M3"/>
      <c r="S3" s="63"/>
      <c r="T3" s="63" t="s">
        <v>159</v>
      </c>
      <c r="U3" s="65">
        <v>0</v>
      </c>
    </row>
    <row r="4" spans="1:30" ht="21" customHeight="1" x14ac:dyDescent="0.45">
      <c r="A4" s="326" t="s">
        <v>190</v>
      </c>
      <c r="B4" s="325"/>
      <c r="C4" s="325"/>
      <c r="D4"/>
      <c r="E4"/>
      <c r="F4"/>
      <c r="G4"/>
      <c r="H4"/>
      <c r="I4"/>
      <c r="J4"/>
      <c r="K4"/>
      <c r="L4"/>
      <c r="M4"/>
      <c r="S4" s="63"/>
      <c r="T4" s="63" t="s">
        <v>30</v>
      </c>
      <c r="U4" s="65">
        <v>0.5</v>
      </c>
    </row>
    <row r="5" spans="1:30" ht="21" customHeight="1" x14ac:dyDescent="0.3">
      <c r="A5" s="58"/>
      <c r="B5" s="58"/>
      <c r="C5" s="58"/>
      <c r="D5" s="58"/>
      <c r="E5" s="58"/>
      <c r="F5" s="58"/>
      <c r="G5" s="58"/>
      <c r="H5" s="58"/>
      <c r="I5" s="110"/>
      <c r="J5" s="110"/>
      <c r="K5" s="58"/>
      <c r="L5" s="58"/>
      <c r="M5" s="58"/>
    </row>
    <row r="6" spans="1:30" ht="33" customHeight="1" x14ac:dyDescent="0.3">
      <c r="A6" s="474" t="s">
        <v>0</v>
      </c>
      <c r="B6" s="438" t="s">
        <v>160</v>
      </c>
      <c r="C6" s="438" t="s">
        <v>8</v>
      </c>
      <c r="D6" s="439" t="s">
        <v>9</v>
      </c>
      <c r="E6" s="439" t="s">
        <v>191</v>
      </c>
      <c r="F6" s="60"/>
      <c r="G6" s="439" t="s">
        <v>192</v>
      </c>
      <c r="H6" s="439" t="s">
        <v>193</v>
      </c>
      <c r="I6" s="441" t="s">
        <v>194</v>
      </c>
      <c r="J6" s="441" t="s">
        <v>195</v>
      </c>
      <c r="K6" s="441" t="s">
        <v>196</v>
      </c>
      <c r="L6" s="439" t="s">
        <v>197</v>
      </c>
      <c r="M6" s="60"/>
      <c r="N6" s="472" t="s">
        <v>198</v>
      </c>
      <c r="O6" s="472" t="s">
        <v>22</v>
      </c>
      <c r="P6" s="473" t="s">
        <v>24</v>
      </c>
      <c r="Q6" s="473"/>
      <c r="R6" s="473"/>
      <c r="S6" s="469" t="s">
        <v>5</v>
      </c>
      <c r="T6" s="469"/>
      <c r="U6" s="469"/>
      <c r="V6" s="470" t="s">
        <v>2</v>
      </c>
      <c r="W6" s="470" t="s">
        <v>199</v>
      </c>
      <c r="X6" s="322"/>
      <c r="Y6" s="471" t="s">
        <v>200</v>
      </c>
    </row>
    <row r="7" spans="1:30" ht="36.75" customHeight="1" x14ac:dyDescent="0.3">
      <c r="A7" s="474"/>
      <c r="B7" s="438"/>
      <c r="C7" s="438"/>
      <c r="D7" s="439"/>
      <c r="E7" s="439"/>
      <c r="F7" s="13" t="s">
        <v>201</v>
      </c>
      <c r="G7" s="439"/>
      <c r="H7" s="439"/>
      <c r="I7" s="441"/>
      <c r="J7" s="441"/>
      <c r="K7" s="441"/>
      <c r="L7" s="439"/>
      <c r="M7" s="7" t="s">
        <v>18</v>
      </c>
      <c r="N7" s="472"/>
      <c r="O7" s="472"/>
      <c r="P7" s="78" t="s">
        <v>25</v>
      </c>
      <c r="Q7" s="78" t="s">
        <v>26</v>
      </c>
      <c r="R7" s="78" t="s">
        <v>27</v>
      </c>
      <c r="S7" s="157" t="s">
        <v>202</v>
      </c>
      <c r="T7" s="157" t="s">
        <v>29</v>
      </c>
      <c r="U7" s="157" t="s">
        <v>30</v>
      </c>
      <c r="V7" s="470"/>
      <c r="W7" s="470"/>
      <c r="X7" s="322" t="s">
        <v>203</v>
      </c>
      <c r="Y7" s="471"/>
      <c r="AC7" t="s">
        <v>7</v>
      </c>
      <c r="AD7" t="s">
        <v>204</v>
      </c>
    </row>
    <row r="8" spans="1:30" ht="21" customHeight="1" x14ac:dyDescent="0.3">
      <c r="A8" s="106"/>
      <c r="B8" s="105"/>
      <c r="C8" s="2"/>
      <c r="D8" s="29"/>
      <c r="E8" s="29"/>
      <c r="F8" s="29"/>
      <c r="G8" s="29"/>
      <c r="H8" s="29"/>
      <c r="I8" s="107"/>
      <c r="J8" s="107"/>
      <c r="K8" s="15"/>
      <c r="L8" s="13"/>
      <c r="M8" s="7"/>
      <c r="N8" s="38"/>
      <c r="O8" s="38"/>
      <c r="P8" s="38"/>
      <c r="Q8" s="38"/>
      <c r="R8" s="38"/>
      <c r="S8" s="38"/>
      <c r="T8" s="38"/>
      <c r="U8" s="38"/>
      <c r="V8" s="38"/>
      <c r="W8" s="79"/>
      <c r="X8" s="79"/>
      <c r="Y8" s="323"/>
    </row>
    <row r="9" spans="1:30" s="262" customFormat="1" ht="21" customHeight="1" x14ac:dyDescent="0.3">
      <c r="A9" s="194" t="s">
        <v>31</v>
      </c>
      <c r="B9" s="29" t="s">
        <v>32</v>
      </c>
      <c r="C9" s="2" t="s">
        <v>205</v>
      </c>
      <c r="D9" s="241">
        <v>100</v>
      </c>
      <c r="E9" s="241">
        <v>100</v>
      </c>
      <c r="F9" s="241"/>
      <c r="G9" s="241">
        <v>1</v>
      </c>
      <c r="H9" s="241">
        <v>0.4</v>
      </c>
      <c r="I9" s="266">
        <f>(D9*6000)/1000000+G9*H9</f>
        <v>1</v>
      </c>
      <c r="J9" s="266"/>
      <c r="K9" s="248">
        <f t="shared" ref="K9:K18" si="0">((I9-I$32)/(I$31-I$32))*2+1</f>
        <v>2.8855218855218858</v>
      </c>
      <c r="L9" s="241"/>
      <c r="M9" s="241"/>
      <c r="N9" s="106"/>
      <c r="O9" s="106"/>
      <c r="P9" s="222">
        <f t="shared" ref="P9:P10" si="1">K9</f>
        <v>2.8855218855218858</v>
      </c>
      <c r="Q9" s="252">
        <v>1</v>
      </c>
      <c r="R9" s="252">
        <v>2</v>
      </c>
      <c r="S9" s="252">
        <f t="shared" ref="S9:S13" si="2">$U$2</f>
        <v>0.5</v>
      </c>
      <c r="T9" s="252">
        <f t="shared" ref="T9:T13" si="3">$U$3</f>
        <v>0</v>
      </c>
      <c r="U9" s="252">
        <f t="shared" ref="U9:U13" si="4">$U$4</f>
        <v>0.5</v>
      </c>
      <c r="V9" s="274">
        <f t="shared" ref="V9:V13" si="5">P9*$U$2+Q9*$U$3+R9*$U$4</f>
        <v>2.4427609427609429</v>
      </c>
      <c r="W9" s="273">
        <f t="shared" ref="W9:W27" si="6">_xlfn.RANK.EQ(V9,(V$9:V$25),0)</f>
        <v>3</v>
      </c>
      <c r="X9" s="273"/>
      <c r="Y9" s="210">
        <v>2023</v>
      </c>
      <c r="AA9" s="73"/>
      <c r="AC9" s="262">
        <v>2023</v>
      </c>
      <c r="AD9" s="262">
        <f t="shared" ref="AD9:AD17" si="7">SUMIF($Y$9:$Y$25,AC9,$I$9:$I$25)</f>
        <v>12</v>
      </c>
    </row>
    <row r="10" spans="1:30" s="262" customFormat="1" ht="21" customHeight="1" x14ac:dyDescent="0.3">
      <c r="A10" s="194" t="s">
        <v>92</v>
      </c>
      <c r="B10" s="29" t="s">
        <v>93</v>
      </c>
      <c r="C10" s="2" t="s">
        <v>206</v>
      </c>
      <c r="D10" s="241">
        <v>600</v>
      </c>
      <c r="E10" s="241">
        <v>600</v>
      </c>
      <c r="F10" s="241"/>
      <c r="G10" s="241"/>
      <c r="H10" s="241"/>
      <c r="I10" s="266">
        <f>(D10*6000)/1000000+G10*H10</f>
        <v>3.6</v>
      </c>
      <c r="J10" s="266"/>
      <c r="K10" s="248">
        <f t="shared" si="0"/>
        <v>2.5353535353535355</v>
      </c>
      <c r="L10" s="241" t="s">
        <v>207</v>
      </c>
      <c r="M10" s="241"/>
      <c r="N10" s="106"/>
      <c r="O10" s="106"/>
      <c r="P10" s="222">
        <f t="shared" si="1"/>
        <v>2.5353535353535355</v>
      </c>
      <c r="Q10" s="252">
        <v>1</v>
      </c>
      <c r="R10" s="252">
        <v>2</v>
      </c>
      <c r="S10" s="252">
        <f t="shared" si="2"/>
        <v>0.5</v>
      </c>
      <c r="T10" s="252">
        <f t="shared" si="3"/>
        <v>0</v>
      </c>
      <c r="U10" s="252">
        <f t="shared" si="4"/>
        <v>0.5</v>
      </c>
      <c r="V10" s="274">
        <f t="shared" si="5"/>
        <v>2.2676767676767677</v>
      </c>
      <c r="W10" s="273">
        <f t="shared" si="6"/>
        <v>4</v>
      </c>
      <c r="X10" s="273"/>
      <c r="Y10" s="210">
        <v>2027</v>
      </c>
      <c r="AA10" s="73"/>
      <c r="AC10" s="262">
        <v>2024</v>
      </c>
      <c r="AD10" s="262">
        <f t="shared" si="7"/>
        <v>11</v>
      </c>
    </row>
    <row r="11" spans="1:30" s="262" customFormat="1" ht="21" customHeight="1" x14ac:dyDescent="0.3">
      <c r="A11" s="106" t="s">
        <v>100</v>
      </c>
      <c r="B11" s="29" t="s">
        <v>101</v>
      </c>
      <c r="C11" s="2" t="s">
        <v>208</v>
      </c>
      <c r="D11" s="241">
        <v>4500</v>
      </c>
      <c r="E11" s="241">
        <v>4500</v>
      </c>
      <c r="F11" s="241"/>
      <c r="G11" s="241"/>
      <c r="H11" s="241"/>
      <c r="I11" s="266">
        <f>(D11*1500)/1000000+G11*H11</f>
        <v>6.75</v>
      </c>
      <c r="J11" s="266"/>
      <c r="K11" s="248">
        <f t="shared" si="0"/>
        <v>2.1111111111111112</v>
      </c>
      <c r="L11" s="241" t="s">
        <v>209</v>
      </c>
      <c r="M11" s="241"/>
      <c r="N11" s="106"/>
      <c r="O11" s="106"/>
      <c r="P11" s="222"/>
      <c r="Q11" s="252"/>
      <c r="R11" s="252"/>
      <c r="S11" s="252">
        <f t="shared" si="2"/>
        <v>0.5</v>
      </c>
      <c r="T11" s="252">
        <f t="shared" si="3"/>
        <v>0</v>
      </c>
      <c r="U11" s="252">
        <f t="shared" si="4"/>
        <v>0.5</v>
      </c>
      <c r="V11" s="274">
        <f t="shared" si="5"/>
        <v>0</v>
      </c>
      <c r="W11" s="273">
        <f t="shared" si="6"/>
        <v>6</v>
      </c>
      <c r="X11" s="273"/>
      <c r="Y11" s="210">
        <v>2028</v>
      </c>
      <c r="AA11" s="73"/>
      <c r="AC11" s="262">
        <v>2025</v>
      </c>
      <c r="AD11" s="262">
        <f t="shared" si="7"/>
        <v>12.5</v>
      </c>
    </row>
    <row r="12" spans="1:30" s="262" customFormat="1" ht="21" customHeight="1" x14ac:dyDescent="0.3">
      <c r="A12" s="194" t="s">
        <v>58</v>
      </c>
      <c r="B12" s="29" t="s">
        <v>59</v>
      </c>
      <c r="C12" s="2" t="s">
        <v>210</v>
      </c>
      <c r="D12" s="241"/>
      <c r="E12" s="241"/>
      <c r="F12" s="241"/>
      <c r="G12" s="241">
        <v>1</v>
      </c>
      <c r="H12" s="241">
        <v>0.5</v>
      </c>
      <c r="I12" s="266">
        <f>(D12*6000)/1000000+G12*H12</f>
        <v>0.5</v>
      </c>
      <c r="J12" s="266"/>
      <c r="K12" s="248">
        <f t="shared" si="0"/>
        <v>2.9528619528619529</v>
      </c>
      <c r="L12" s="241" t="s">
        <v>209</v>
      </c>
      <c r="M12" s="241"/>
      <c r="N12" s="106"/>
      <c r="O12" s="106"/>
      <c r="P12" s="222"/>
      <c r="Q12" s="252"/>
      <c r="R12" s="252"/>
      <c r="S12" s="252">
        <f t="shared" si="2"/>
        <v>0.5</v>
      </c>
      <c r="T12" s="252">
        <f t="shared" si="3"/>
        <v>0</v>
      </c>
      <c r="U12" s="252">
        <f t="shared" si="4"/>
        <v>0.5</v>
      </c>
      <c r="V12" s="274">
        <f t="shared" si="5"/>
        <v>0</v>
      </c>
      <c r="W12" s="273">
        <f t="shared" si="6"/>
        <v>6</v>
      </c>
      <c r="X12" s="273"/>
      <c r="Y12" s="210">
        <v>2025</v>
      </c>
      <c r="AA12" s="73"/>
      <c r="AC12" s="262">
        <v>2026</v>
      </c>
      <c r="AD12" s="262">
        <f t="shared" si="7"/>
        <v>3.2</v>
      </c>
    </row>
    <row r="13" spans="1:30" s="262" customFormat="1" ht="21" customHeight="1" x14ac:dyDescent="0.3">
      <c r="A13" s="194" t="s">
        <v>61</v>
      </c>
      <c r="B13" s="29" t="s">
        <v>62</v>
      </c>
      <c r="C13" s="2" t="s">
        <v>211</v>
      </c>
      <c r="D13" s="241">
        <v>1800</v>
      </c>
      <c r="E13" s="241">
        <v>1800</v>
      </c>
      <c r="F13" s="241"/>
      <c r="G13" s="241">
        <v>1</v>
      </c>
      <c r="H13" s="241">
        <v>3</v>
      </c>
      <c r="I13" s="266">
        <f>(D13*5000)/1000000+G13*H13</f>
        <v>12</v>
      </c>
      <c r="J13" s="266"/>
      <c r="K13" s="248">
        <f t="shared" si="0"/>
        <v>1.404040404040404</v>
      </c>
      <c r="L13" s="241" t="s">
        <v>209</v>
      </c>
      <c r="M13" s="241"/>
      <c r="N13" s="106"/>
      <c r="O13" s="106"/>
      <c r="P13" s="222"/>
      <c r="Q13" s="252"/>
      <c r="R13" s="252"/>
      <c r="S13" s="252">
        <f t="shared" si="2"/>
        <v>0.5</v>
      </c>
      <c r="T13" s="252">
        <f t="shared" si="3"/>
        <v>0</v>
      </c>
      <c r="U13" s="252">
        <f t="shared" si="4"/>
        <v>0.5</v>
      </c>
      <c r="V13" s="274">
        <f t="shared" si="5"/>
        <v>0</v>
      </c>
      <c r="W13" s="273">
        <f t="shared" si="6"/>
        <v>6</v>
      </c>
      <c r="X13" s="273"/>
      <c r="Y13" s="210">
        <v>2025</v>
      </c>
      <c r="AA13" s="73"/>
      <c r="AC13" s="262">
        <v>2027</v>
      </c>
      <c r="AD13" s="262">
        <f t="shared" si="7"/>
        <v>3.6</v>
      </c>
    </row>
    <row r="14" spans="1:30" s="9" customFormat="1" ht="21" customHeight="1" x14ac:dyDescent="0.3">
      <c r="A14" s="194" t="s">
        <v>103</v>
      </c>
      <c r="B14" s="25" t="s">
        <v>104</v>
      </c>
      <c r="C14" s="24" t="s">
        <v>105</v>
      </c>
      <c r="D14" s="40"/>
      <c r="E14" s="40"/>
      <c r="F14" s="40"/>
      <c r="G14" s="40"/>
      <c r="H14" s="40"/>
      <c r="I14" s="214">
        <v>0.15</v>
      </c>
      <c r="J14" s="214"/>
      <c r="K14" s="42">
        <f t="shared" si="0"/>
        <v>3</v>
      </c>
      <c r="L14" s="241" t="s">
        <v>209</v>
      </c>
      <c r="M14" s="24"/>
      <c r="N14" s="66"/>
      <c r="O14" s="66"/>
      <c r="P14" s="80"/>
      <c r="Q14" s="70"/>
      <c r="R14" s="70"/>
      <c r="S14" s="70"/>
      <c r="T14" s="70"/>
      <c r="U14" s="70"/>
      <c r="V14" s="215"/>
      <c r="W14" s="126">
        <f t="shared" si="6"/>
        <v>6</v>
      </c>
      <c r="X14" s="126"/>
      <c r="Y14" s="210">
        <v>2028</v>
      </c>
      <c r="AC14" s="262">
        <v>2028</v>
      </c>
      <c r="AD14" s="262">
        <f t="shared" si="7"/>
        <v>6.9</v>
      </c>
    </row>
    <row r="15" spans="1:30" s="9" customFormat="1" ht="21" customHeight="1" x14ac:dyDescent="0.3">
      <c r="A15" s="194" t="s">
        <v>74</v>
      </c>
      <c r="B15" s="29" t="s">
        <v>75</v>
      </c>
      <c r="C15" s="2" t="s">
        <v>212</v>
      </c>
      <c r="D15" s="257">
        <v>1500</v>
      </c>
      <c r="E15" s="257">
        <v>1500</v>
      </c>
      <c r="F15" s="257"/>
      <c r="G15" s="257"/>
      <c r="H15" s="257"/>
      <c r="I15" s="266">
        <f t="shared" ref="I15:I17" si="8">(D15*6000)/1000000+G15*H15</f>
        <v>9</v>
      </c>
      <c r="J15" s="266">
        <v>3</v>
      </c>
      <c r="K15" s="248">
        <f t="shared" si="0"/>
        <v>1.808080808080808</v>
      </c>
      <c r="L15" s="241" t="s">
        <v>209</v>
      </c>
      <c r="M15" s="241"/>
      <c r="N15" s="106"/>
      <c r="O15" s="106"/>
      <c r="P15" s="222"/>
      <c r="Q15" s="252"/>
      <c r="R15" s="252"/>
      <c r="S15" s="252">
        <f>$U$2</f>
        <v>0.5</v>
      </c>
      <c r="T15" s="252">
        <f>$U$3</f>
        <v>0</v>
      </c>
      <c r="U15" s="252">
        <f>$U$4</f>
        <v>0.5</v>
      </c>
      <c r="V15" s="274">
        <f>P15*$U$2+Q15*$U$3+R15*$U$4</f>
        <v>0</v>
      </c>
      <c r="W15" s="273">
        <f t="shared" si="6"/>
        <v>6</v>
      </c>
      <c r="X15" s="273"/>
      <c r="Y15" s="210" t="s">
        <v>213</v>
      </c>
      <c r="AC15" s="262">
        <v>2029</v>
      </c>
      <c r="AD15" s="262">
        <f t="shared" si="7"/>
        <v>2</v>
      </c>
    </row>
    <row r="16" spans="1:30" s="262" customFormat="1" ht="21" customHeight="1" x14ac:dyDescent="0.3">
      <c r="A16" s="194" t="s">
        <v>106</v>
      </c>
      <c r="B16" s="29" t="s">
        <v>107</v>
      </c>
      <c r="C16" s="241" t="s">
        <v>214</v>
      </c>
      <c r="D16" s="257">
        <v>2500</v>
      </c>
      <c r="E16" s="257">
        <v>2500</v>
      </c>
      <c r="F16" s="257"/>
      <c r="G16" s="257"/>
      <c r="H16" s="257"/>
      <c r="I16" s="266">
        <f t="shared" si="8"/>
        <v>15</v>
      </c>
      <c r="J16" s="266">
        <f>I16/5</f>
        <v>3</v>
      </c>
      <c r="K16" s="248">
        <f t="shared" si="0"/>
        <v>1</v>
      </c>
      <c r="L16" s="257"/>
      <c r="M16" s="241"/>
      <c r="N16" s="106"/>
      <c r="O16" s="106"/>
      <c r="P16" s="222">
        <f>K16</f>
        <v>1</v>
      </c>
      <c r="Q16" s="252">
        <v>1</v>
      </c>
      <c r="R16" s="252">
        <v>3</v>
      </c>
      <c r="S16" s="252">
        <f>$U$2</f>
        <v>0.5</v>
      </c>
      <c r="T16" s="252">
        <f>$U$3</f>
        <v>0</v>
      </c>
      <c r="U16" s="252">
        <f>$U$4</f>
        <v>0.5</v>
      </c>
      <c r="V16" s="274">
        <f>P16*$U$2+Q16*$U$3+R16*$U$4</f>
        <v>2</v>
      </c>
      <c r="W16" s="273">
        <f t="shared" si="6"/>
        <v>5</v>
      </c>
      <c r="X16" s="273"/>
      <c r="Y16" s="210" t="s">
        <v>215</v>
      </c>
      <c r="AC16" s="262">
        <v>2031</v>
      </c>
      <c r="AD16" s="262">
        <f t="shared" si="7"/>
        <v>0</v>
      </c>
    </row>
    <row r="17" spans="1:30" s="262" customFormat="1" ht="21" customHeight="1" x14ac:dyDescent="0.3">
      <c r="A17" s="194" t="s">
        <v>78</v>
      </c>
      <c r="B17" s="29" t="s">
        <v>79</v>
      </c>
      <c r="C17" s="241" t="s">
        <v>216</v>
      </c>
      <c r="D17" s="257">
        <v>500</v>
      </c>
      <c r="E17" s="257">
        <v>500</v>
      </c>
      <c r="F17" s="257"/>
      <c r="G17" s="257"/>
      <c r="H17" s="257"/>
      <c r="I17" s="266">
        <f t="shared" si="8"/>
        <v>3</v>
      </c>
      <c r="J17" s="266"/>
      <c r="K17" s="248">
        <f t="shared" si="0"/>
        <v>2.6161616161616159</v>
      </c>
      <c r="L17" s="257"/>
      <c r="M17" s="241"/>
      <c r="N17" s="106"/>
      <c r="O17" s="106"/>
      <c r="P17" s="222">
        <f>K17</f>
        <v>2.6161616161616159</v>
      </c>
      <c r="Q17" s="252">
        <v>1</v>
      </c>
      <c r="R17" s="252">
        <v>3</v>
      </c>
      <c r="S17" s="252"/>
      <c r="T17" s="252"/>
      <c r="U17" s="252"/>
      <c r="V17" s="274">
        <f>P17*$U$2+Q17*$U$3+R17*$U$4</f>
        <v>2.808080808080808</v>
      </c>
      <c r="W17" s="273">
        <f t="shared" si="6"/>
        <v>2</v>
      </c>
      <c r="X17" s="273"/>
      <c r="Y17" s="210">
        <v>2026</v>
      </c>
      <c r="AC17" s="262">
        <v>2032</v>
      </c>
      <c r="AD17" s="262">
        <f t="shared" si="7"/>
        <v>4.2</v>
      </c>
    </row>
    <row r="18" spans="1:30" s="262" customFormat="1" ht="21" customHeight="1" x14ac:dyDescent="0.3">
      <c r="A18" s="194" t="s">
        <v>34</v>
      </c>
      <c r="B18" s="29" t="s">
        <v>35</v>
      </c>
      <c r="C18" s="241" t="s">
        <v>217</v>
      </c>
      <c r="D18" s="275"/>
      <c r="E18" s="275"/>
      <c r="F18" s="257"/>
      <c r="G18" s="257">
        <v>39</v>
      </c>
      <c r="H18" s="257">
        <v>0.05</v>
      </c>
      <c r="I18" s="266">
        <f>(D18*6000)/1000000+G18*H18+0.05</f>
        <v>2</v>
      </c>
      <c r="J18" s="266">
        <f>I18/10</f>
        <v>0.2</v>
      </c>
      <c r="K18" s="248">
        <f t="shared" si="0"/>
        <v>2.7508417508417509</v>
      </c>
      <c r="L18" s="257"/>
      <c r="M18" s="241"/>
      <c r="N18" s="106"/>
      <c r="O18" s="106"/>
      <c r="P18" s="222">
        <f>K18</f>
        <v>2.7508417508417509</v>
      </c>
      <c r="Q18" s="252">
        <v>1</v>
      </c>
      <c r="R18" s="252">
        <v>3</v>
      </c>
      <c r="S18" s="252"/>
      <c r="T18" s="252"/>
      <c r="U18" s="252"/>
      <c r="V18" s="274">
        <f>P18*$U$2+Q18*$U$3+R18*$U$4</f>
        <v>2.8754208754208754</v>
      </c>
      <c r="W18" s="273">
        <f t="shared" si="6"/>
        <v>1</v>
      </c>
      <c r="X18" s="273"/>
      <c r="Y18" s="210" t="s">
        <v>218</v>
      </c>
    </row>
    <row r="19" spans="1:30" s="262" customFormat="1" ht="21" customHeight="1" x14ac:dyDescent="0.3">
      <c r="A19" s="194" t="s">
        <v>37</v>
      </c>
      <c r="B19" s="29" t="s">
        <v>38</v>
      </c>
      <c r="C19" s="241" t="s">
        <v>219</v>
      </c>
      <c r="D19" s="257"/>
      <c r="E19" s="257"/>
      <c r="F19" s="257"/>
      <c r="G19" s="257"/>
      <c r="H19" s="257"/>
      <c r="I19" s="266">
        <v>8</v>
      </c>
      <c r="J19" s="266"/>
      <c r="K19" s="248"/>
      <c r="L19" s="241" t="s">
        <v>209</v>
      </c>
      <c r="M19" s="241"/>
      <c r="N19" s="106"/>
      <c r="O19" s="106"/>
      <c r="P19" s="222"/>
      <c r="Q19" s="252"/>
      <c r="R19" s="252"/>
      <c r="S19" s="252"/>
      <c r="T19" s="252"/>
      <c r="U19" s="252"/>
      <c r="V19" s="274"/>
      <c r="W19" s="273">
        <f t="shared" si="6"/>
        <v>6</v>
      </c>
      <c r="X19" s="273"/>
      <c r="Y19" s="210">
        <v>2023</v>
      </c>
    </row>
    <row r="20" spans="1:30" s="262" customFormat="1" ht="21" customHeight="1" x14ac:dyDescent="0.3">
      <c r="A20" s="194" t="s">
        <v>220</v>
      </c>
      <c r="B20" s="29" t="s">
        <v>136</v>
      </c>
      <c r="C20" s="241" t="s">
        <v>221</v>
      </c>
      <c r="D20" s="257"/>
      <c r="E20" s="257"/>
      <c r="F20" s="257"/>
      <c r="G20" s="257"/>
      <c r="H20" s="257"/>
      <c r="I20" s="266">
        <v>9</v>
      </c>
      <c r="J20" s="266"/>
      <c r="K20" s="248"/>
      <c r="L20" s="241" t="s">
        <v>209</v>
      </c>
      <c r="M20" s="241"/>
      <c r="N20" s="106"/>
      <c r="O20" s="106"/>
      <c r="P20" s="222"/>
      <c r="Q20" s="252"/>
      <c r="R20" s="252"/>
      <c r="S20" s="252"/>
      <c r="T20" s="252"/>
      <c r="U20" s="252"/>
      <c r="V20" s="274"/>
      <c r="W20" s="273">
        <f t="shared" si="6"/>
        <v>6</v>
      </c>
      <c r="X20" s="273"/>
      <c r="Y20" s="210">
        <v>2024</v>
      </c>
    </row>
    <row r="21" spans="1:30" s="262" customFormat="1" ht="21" customHeight="1" x14ac:dyDescent="0.3">
      <c r="A21" s="194" t="s">
        <v>40</v>
      </c>
      <c r="B21" s="29" t="s">
        <v>41</v>
      </c>
      <c r="C21" s="241" t="s">
        <v>222</v>
      </c>
      <c r="D21" s="257"/>
      <c r="E21" s="257"/>
      <c r="F21" s="257"/>
      <c r="G21" s="257"/>
      <c r="H21" s="257"/>
      <c r="I21" s="266">
        <v>3</v>
      </c>
      <c r="J21" s="266"/>
      <c r="K21" s="248"/>
      <c r="L21" s="241" t="s">
        <v>209</v>
      </c>
      <c r="M21" s="241"/>
      <c r="N21" s="106"/>
      <c r="O21" s="106"/>
      <c r="P21" s="222"/>
      <c r="Q21" s="252"/>
      <c r="R21" s="252"/>
      <c r="S21" s="252"/>
      <c r="T21" s="252"/>
      <c r="U21" s="252"/>
      <c r="V21" s="274"/>
      <c r="W21" s="273">
        <f t="shared" si="6"/>
        <v>6</v>
      </c>
      <c r="X21" s="273"/>
      <c r="Y21" s="210">
        <v>2023</v>
      </c>
    </row>
    <row r="22" spans="1:30" s="262" customFormat="1" ht="21" customHeight="1" x14ac:dyDescent="0.3">
      <c r="A22" s="194" t="s">
        <v>54</v>
      </c>
      <c r="B22" s="29" t="s">
        <v>55</v>
      </c>
      <c r="C22" s="241" t="s">
        <v>223</v>
      </c>
      <c r="D22" s="257"/>
      <c r="E22" s="257"/>
      <c r="F22" s="257"/>
      <c r="G22" s="257"/>
      <c r="H22" s="257"/>
      <c r="I22" s="266">
        <v>2</v>
      </c>
      <c r="J22" s="266"/>
      <c r="K22" s="248"/>
      <c r="L22" s="241" t="s">
        <v>209</v>
      </c>
      <c r="M22" s="241"/>
      <c r="N22" s="106"/>
      <c r="O22" s="106"/>
      <c r="P22" s="222"/>
      <c r="Q22" s="252"/>
      <c r="R22" s="252"/>
      <c r="S22" s="252"/>
      <c r="T22" s="252"/>
      <c r="U22" s="252"/>
      <c r="V22" s="274"/>
      <c r="W22" s="273">
        <f t="shared" si="6"/>
        <v>6</v>
      </c>
      <c r="X22" s="273"/>
      <c r="Y22" s="210">
        <v>2024</v>
      </c>
    </row>
    <row r="23" spans="1:30" s="262" customFormat="1" ht="21" customHeight="1" x14ac:dyDescent="0.3">
      <c r="A23" s="194" t="s">
        <v>81</v>
      </c>
      <c r="B23" s="29" t="s">
        <v>82</v>
      </c>
      <c r="C23" s="241" t="s">
        <v>83</v>
      </c>
      <c r="D23" s="257"/>
      <c r="E23" s="257"/>
      <c r="F23" s="257"/>
      <c r="G23" s="257">
        <v>1</v>
      </c>
      <c r="H23" s="257">
        <v>0.2</v>
      </c>
      <c r="I23" s="266">
        <f>(D23*6000)/1000000+G23*H23</f>
        <v>0.2</v>
      </c>
      <c r="J23" s="266"/>
      <c r="K23" s="248"/>
      <c r="L23" s="241" t="s">
        <v>209</v>
      </c>
      <c r="M23" s="241"/>
      <c r="N23" s="106"/>
      <c r="O23" s="106"/>
      <c r="P23" s="222"/>
      <c r="Q23" s="252"/>
      <c r="R23" s="252"/>
      <c r="S23" s="252"/>
      <c r="T23" s="252"/>
      <c r="U23" s="252"/>
      <c r="V23" s="274"/>
      <c r="W23" s="273">
        <f t="shared" si="6"/>
        <v>6</v>
      </c>
      <c r="X23" s="273"/>
      <c r="Y23" s="210">
        <v>2026</v>
      </c>
    </row>
    <row r="24" spans="1:30" s="262" customFormat="1" ht="21" customHeight="1" x14ac:dyDescent="0.3">
      <c r="A24" s="194" t="s">
        <v>116</v>
      </c>
      <c r="B24" s="29" t="s">
        <v>117</v>
      </c>
      <c r="C24" s="241" t="s">
        <v>118</v>
      </c>
      <c r="D24" s="257">
        <v>2000</v>
      </c>
      <c r="E24" s="257"/>
      <c r="F24" s="257"/>
      <c r="G24" s="257">
        <v>1</v>
      </c>
      <c r="H24" s="257">
        <v>0.6</v>
      </c>
      <c r="I24" s="266">
        <v>4.2</v>
      </c>
      <c r="J24" s="266"/>
      <c r="K24" s="248"/>
      <c r="L24" s="241" t="s">
        <v>209</v>
      </c>
      <c r="M24" s="241"/>
      <c r="N24" s="106"/>
      <c r="O24" s="106"/>
      <c r="P24" s="222"/>
      <c r="Q24" s="252"/>
      <c r="R24" s="252"/>
      <c r="S24" s="252"/>
      <c r="T24" s="252"/>
      <c r="U24" s="252"/>
      <c r="V24" s="274"/>
      <c r="W24" s="273">
        <f t="shared" si="6"/>
        <v>6</v>
      </c>
      <c r="X24" s="273"/>
      <c r="Y24" s="210">
        <v>2032</v>
      </c>
    </row>
    <row r="25" spans="1:30" s="262" customFormat="1" ht="21" customHeight="1" x14ac:dyDescent="0.3">
      <c r="A25" s="194" t="s">
        <v>110</v>
      </c>
      <c r="B25" s="29" t="s">
        <v>494</v>
      </c>
      <c r="C25" s="241" t="s">
        <v>112</v>
      </c>
      <c r="D25" s="272"/>
      <c r="E25" s="272"/>
      <c r="F25" s="272"/>
      <c r="G25" s="272"/>
      <c r="H25" s="257">
        <v>1</v>
      </c>
      <c r="I25" s="266">
        <v>2</v>
      </c>
      <c r="J25" s="266"/>
      <c r="K25" s="248"/>
      <c r="L25" s="241" t="s">
        <v>209</v>
      </c>
      <c r="M25" s="241"/>
      <c r="N25" s="106"/>
      <c r="O25" s="106"/>
      <c r="P25" s="222"/>
      <c r="Q25" s="252"/>
      <c r="R25" s="252"/>
      <c r="S25" s="252"/>
      <c r="T25" s="252"/>
      <c r="U25" s="252"/>
      <c r="V25" s="274"/>
      <c r="W25" s="273">
        <f t="shared" si="6"/>
        <v>6</v>
      </c>
      <c r="X25" s="273"/>
      <c r="Y25" s="210">
        <v>2029</v>
      </c>
    </row>
    <row r="26" spans="1:30" s="262" customFormat="1" ht="21" customHeight="1" x14ac:dyDescent="0.3">
      <c r="A26" s="194" t="s">
        <v>493</v>
      </c>
      <c r="B26" s="29" t="s">
        <v>496</v>
      </c>
      <c r="C26" s="241" t="s">
        <v>498</v>
      </c>
      <c r="D26" s="272"/>
      <c r="E26" s="272"/>
      <c r="F26" s="272"/>
      <c r="G26" s="272"/>
      <c r="H26" s="257"/>
      <c r="I26" s="266">
        <v>10</v>
      </c>
      <c r="J26" s="266"/>
      <c r="K26" s="248"/>
      <c r="L26" s="241" t="s">
        <v>209</v>
      </c>
      <c r="M26" s="241"/>
      <c r="N26" s="106"/>
      <c r="O26" s="106"/>
      <c r="P26" s="222"/>
      <c r="Q26" s="252"/>
      <c r="R26" s="252"/>
      <c r="S26" s="252"/>
      <c r="T26" s="252"/>
      <c r="U26" s="252"/>
      <c r="V26" s="274"/>
      <c r="W26" s="273">
        <f t="shared" si="6"/>
        <v>6</v>
      </c>
      <c r="X26" s="273"/>
      <c r="Y26" s="210">
        <v>2029</v>
      </c>
    </row>
    <row r="27" spans="1:30" s="262" customFormat="1" ht="21" customHeight="1" x14ac:dyDescent="0.3">
      <c r="A27" s="194" t="s">
        <v>495</v>
      </c>
      <c r="B27" s="29" t="s">
        <v>497</v>
      </c>
      <c r="C27" s="241" t="s">
        <v>499</v>
      </c>
      <c r="D27" s="272"/>
      <c r="E27" s="272"/>
      <c r="F27" s="272"/>
      <c r="G27" s="272"/>
      <c r="H27" s="257"/>
      <c r="I27" s="266">
        <v>10</v>
      </c>
      <c r="J27" s="266"/>
      <c r="K27" s="248"/>
      <c r="L27" s="241" t="s">
        <v>209</v>
      </c>
      <c r="M27" s="241"/>
      <c r="N27" s="106"/>
      <c r="O27" s="106"/>
      <c r="P27" s="222"/>
      <c r="Q27" s="252"/>
      <c r="R27" s="252"/>
      <c r="S27" s="252"/>
      <c r="T27" s="252"/>
      <c r="U27" s="252"/>
      <c r="V27" s="274"/>
      <c r="W27" s="273">
        <f t="shared" si="6"/>
        <v>6</v>
      </c>
      <c r="X27" s="273"/>
      <c r="Y27" s="210">
        <v>2029</v>
      </c>
    </row>
    <row r="28" spans="1:30" s="9" customFormat="1" ht="21" customHeight="1" x14ac:dyDescent="0.3">
      <c r="A28" s="55"/>
      <c r="B28" s="53" t="s">
        <v>186</v>
      </c>
      <c r="C28" s="53"/>
      <c r="D28" s="55">
        <f>SUM(D6:D25)</f>
        <v>13500</v>
      </c>
      <c r="E28" s="59"/>
      <c r="F28" s="59"/>
      <c r="G28" s="59"/>
      <c r="H28" s="59"/>
      <c r="I28" s="219">
        <f>SUM(I9:I27)</f>
        <v>101.4</v>
      </c>
      <c r="J28" s="219"/>
      <c r="K28" s="55"/>
      <c r="L28" s="55"/>
      <c r="M28" s="55"/>
      <c r="N28" s="55"/>
      <c r="O28" s="55"/>
      <c r="P28" s="55"/>
      <c r="Q28" s="55"/>
      <c r="R28" s="55"/>
      <c r="S28" s="55"/>
      <c r="T28" s="55"/>
      <c r="U28" s="55"/>
      <c r="V28" s="55"/>
      <c r="W28" s="55"/>
      <c r="X28" s="55"/>
      <c r="Y28" s="324"/>
    </row>
    <row r="29" spans="1:30" s="9" customFormat="1" ht="21" customHeight="1" x14ac:dyDescent="0.3">
      <c r="A29" s="17"/>
      <c r="B29" s="18"/>
      <c r="C29" s="216"/>
      <c r="D29" s="19"/>
      <c r="E29" s="19"/>
      <c r="F29" s="19"/>
      <c r="G29" s="19"/>
      <c r="H29" s="19"/>
      <c r="I29" s="104"/>
      <c r="J29" s="104"/>
      <c r="K29" s="20"/>
      <c r="L29" s="19"/>
      <c r="M29" s="21"/>
      <c r="N29" s="22"/>
      <c r="O29" s="22"/>
      <c r="P29" s="22"/>
      <c r="Q29" s="22"/>
      <c r="R29" s="22"/>
      <c r="S29" s="22"/>
      <c r="T29" s="22"/>
      <c r="U29" s="22"/>
      <c r="V29" s="22"/>
      <c r="W29" s="74"/>
      <c r="X29" s="74"/>
      <c r="Y29" s="74"/>
    </row>
    <row r="30" spans="1:30" s="22" customFormat="1" ht="21" customHeight="1" x14ac:dyDescent="0.3">
      <c r="A30" s="12"/>
      <c r="B30" s="1"/>
      <c r="C30" s="216"/>
      <c r="D30" s="14"/>
      <c r="E30" s="14"/>
      <c r="F30" s="14"/>
      <c r="G30" s="14"/>
      <c r="H30" s="14"/>
      <c r="I30" s="100"/>
      <c r="J30" s="100"/>
      <c r="K30" s="34"/>
      <c r="L30" s="14"/>
      <c r="M30" s="5"/>
      <c r="N30"/>
      <c r="O30"/>
      <c r="P30"/>
      <c r="Q30"/>
      <c r="R30"/>
      <c r="S30"/>
      <c r="T30"/>
      <c r="U30"/>
      <c r="V30"/>
      <c r="W30" s="75"/>
      <c r="X30" s="75"/>
      <c r="Y30" s="108"/>
    </row>
    <row r="31" spans="1:30" ht="21" customHeight="1" x14ac:dyDescent="0.3">
      <c r="B31" s="23"/>
      <c r="C31" s="216"/>
      <c r="F31" s="49" t="s">
        <v>187</v>
      </c>
      <c r="G31" s="49"/>
      <c r="H31" s="49"/>
      <c r="I31" s="212">
        <f>MIN(I9:I27)</f>
        <v>0.15</v>
      </c>
      <c r="J31" s="212"/>
    </row>
    <row r="32" spans="1:30" ht="21" customHeight="1" x14ac:dyDescent="0.3">
      <c r="C32" s="271" t="s">
        <v>224</v>
      </c>
      <c r="F32" s="49" t="s">
        <v>123</v>
      </c>
      <c r="G32" s="49"/>
      <c r="H32" s="49"/>
      <c r="I32" s="213">
        <f>MAXA(I9:I27)</f>
        <v>15</v>
      </c>
      <c r="J32" s="213"/>
    </row>
    <row r="35" spans="1:24" ht="21" customHeight="1" x14ac:dyDescent="0.3">
      <c r="A35" s="60"/>
      <c r="B35" s="60"/>
      <c r="C35" s="41" t="s">
        <v>225</v>
      </c>
      <c r="D35" s="60"/>
      <c r="E35" s="60"/>
      <c r="F35" s="60"/>
      <c r="G35" s="60"/>
      <c r="H35" s="60"/>
      <c r="I35" s="101"/>
      <c r="J35" s="101"/>
      <c r="K35" s="60"/>
      <c r="L35" s="60"/>
      <c r="M35" s="60"/>
      <c r="N35" s="472" t="s">
        <v>198</v>
      </c>
      <c r="O35" s="472" t="s">
        <v>22</v>
      </c>
      <c r="P35" s="473" t="s">
        <v>24</v>
      </c>
      <c r="Q35" s="473"/>
      <c r="R35" s="473"/>
      <c r="S35" s="469" t="s">
        <v>5</v>
      </c>
      <c r="T35" s="469"/>
      <c r="U35" s="469"/>
      <c r="V35" s="99" t="s">
        <v>2</v>
      </c>
      <c r="W35" s="77" t="s">
        <v>3</v>
      </c>
      <c r="X35" s="278"/>
    </row>
    <row r="36" spans="1:24" ht="21" customHeight="1" x14ac:dyDescent="0.3">
      <c r="A36" s="10" t="s">
        <v>0</v>
      </c>
      <c r="B36" s="6" t="s">
        <v>160</v>
      </c>
      <c r="C36" s="6" t="s">
        <v>8</v>
      </c>
      <c r="D36" s="13" t="s">
        <v>9</v>
      </c>
      <c r="E36" s="13" t="s">
        <v>226</v>
      </c>
      <c r="F36" s="13" t="s">
        <v>201</v>
      </c>
      <c r="G36" s="13"/>
      <c r="H36" s="13"/>
      <c r="I36" s="102" t="s">
        <v>227</v>
      </c>
      <c r="J36" s="102"/>
      <c r="K36" s="15" t="s">
        <v>196</v>
      </c>
      <c r="L36" s="13" t="s">
        <v>197</v>
      </c>
      <c r="M36" s="7" t="s">
        <v>18</v>
      </c>
      <c r="N36" s="472"/>
      <c r="O36" s="472"/>
      <c r="P36" s="78" t="s">
        <v>25</v>
      </c>
      <c r="Q36" s="78" t="s">
        <v>26</v>
      </c>
      <c r="R36" s="78" t="s">
        <v>27</v>
      </c>
      <c r="S36" s="109" t="s">
        <v>202</v>
      </c>
      <c r="T36" s="109" t="s">
        <v>29</v>
      </c>
      <c r="U36" s="109" t="s">
        <v>30</v>
      </c>
      <c r="V36" s="76"/>
      <c r="W36" s="76"/>
      <c r="X36" s="279"/>
    </row>
    <row r="37" spans="1:24" ht="21" customHeight="1" x14ac:dyDescent="0.3">
      <c r="A37" s="11"/>
      <c r="B37" s="25"/>
      <c r="C37" s="24"/>
      <c r="D37" s="40"/>
      <c r="E37" s="40"/>
      <c r="F37" s="40"/>
      <c r="G37" s="40"/>
      <c r="H37" s="40"/>
      <c r="I37" s="98"/>
      <c r="J37" s="98"/>
      <c r="K37" s="42"/>
      <c r="L37" s="40"/>
      <c r="M37" s="24"/>
      <c r="N37" s="66"/>
      <c r="O37" s="66"/>
      <c r="P37" s="38"/>
      <c r="Q37" s="38"/>
      <c r="R37" s="38"/>
      <c r="S37" s="38"/>
      <c r="T37" s="38"/>
      <c r="U37" s="38"/>
      <c r="V37" s="67"/>
      <c r="W37" s="79"/>
    </row>
    <row r="38" spans="1:24" ht="21" customHeight="1" x14ac:dyDescent="0.3">
      <c r="A38" s="11"/>
      <c r="B38" s="25"/>
      <c r="C38" s="3"/>
      <c r="D38" s="24"/>
      <c r="E38" s="24"/>
      <c r="F38" s="24"/>
      <c r="G38" s="24"/>
      <c r="H38" s="24"/>
      <c r="I38" s="98"/>
      <c r="J38" s="98"/>
      <c r="K38" s="42"/>
      <c r="L38" s="24"/>
      <c r="M38" s="24"/>
      <c r="N38" s="66"/>
      <c r="O38" s="66"/>
      <c r="P38" s="38"/>
      <c r="Q38" s="38"/>
      <c r="R38" s="38"/>
      <c r="S38" s="38"/>
      <c r="T38" s="38"/>
      <c r="U38" s="38"/>
      <c r="V38" s="67"/>
      <c r="W38" s="79"/>
    </row>
    <row r="39" spans="1:24" ht="21" customHeight="1" x14ac:dyDescent="0.3">
      <c r="A39" s="11"/>
      <c r="B39" s="25"/>
      <c r="C39" s="24"/>
      <c r="D39" s="40"/>
      <c r="E39" s="40"/>
      <c r="F39" s="40"/>
      <c r="G39" s="40"/>
      <c r="H39" s="40"/>
      <c r="I39" s="98"/>
      <c r="J39" s="98"/>
      <c r="K39" s="42"/>
      <c r="L39" s="40"/>
      <c r="M39" s="24"/>
      <c r="N39" s="66"/>
      <c r="O39" s="66"/>
      <c r="P39" s="38"/>
      <c r="Q39" s="38"/>
      <c r="R39" s="38"/>
      <c r="S39" s="38"/>
      <c r="T39" s="38"/>
      <c r="U39" s="38"/>
      <c r="V39" s="67"/>
      <c r="W39" s="79"/>
    </row>
    <row r="40" spans="1:24" ht="21" customHeight="1" x14ac:dyDescent="0.3">
      <c r="A40" s="55"/>
      <c r="B40" s="53" t="s">
        <v>186</v>
      </c>
      <c r="C40" s="54"/>
      <c r="D40" s="55">
        <f>SUM(D36:D39)</f>
        <v>0</v>
      </c>
      <c r="E40" s="59"/>
      <c r="F40" s="59"/>
      <c r="G40" s="59"/>
      <c r="H40" s="59"/>
      <c r="I40" s="103">
        <f>SUM(I36:I39)</f>
        <v>0</v>
      </c>
      <c r="J40" s="103"/>
      <c r="K40" s="55"/>
      <c r="L40" s="55"/>
      <c r="M40" s="55"/>
      <c r="N40" s="55"/>
      <c r="O40" s="55"/>
      <c r="P40" s="55"/>
      <c r="Q40" s="55"/>
      <c r="R40" s="55"/>
      <c r="S40" s="55"/>
      <c r="T40" s="55"/>
      <c r="U40" s="55"/>
      <c r="V40" s="55"/>
      <c r="W40" s="55"/>
      <c r="X40" s="277"/>
    </row>
  </sheetData>
  <mergeCells count="22">
    <mergeCell ref="A6:A7"/>
    <mergeCell ref="G6:G7"/>
    <mergeCell ref="E6:E7"/>
    <mergeCell ref="D6:D7"/>
    <mergeCell ref="C6:C7"/>
    <mergeCell ref="B6:B7"/>
    <mergeCell ref="L6:L7"/>
    <mergeCell ref="K6:K7"/>
    <mergeCell ref="J6:J7"/>
    <mergeCell ref="I6:I7"/>
    <mergeCell ref="H6:H7"/>
    <mergeCell ref="S6:U6"/>
    <mergeCell ref="V6:V7"/>
    <mergeCell ref="W6:W7"/>
    <mergeCell ref="Y6:Y7"/>
    <mergeCell ref="N35:N36"/>
    <mergeCell ref="O35:O36"/>
    <mergeCell ref="P35:R35"/>
    <mergeCell ref="S35:U35"/>
    <mergeCell ref="N6:N7"/>
    <mergeCell ref="O6:O7"/>
    <mergeCell ref="P6:R6"/>
  </mergeCells>
  <conditionalFormatting sqref="W37:X37">
    <cfRule type="colorScale" priority="4">
      <colorScale>
        <cfvo type="min"/>
        <cfvo type="percentile" val="50"/>
        <cfvo type="max"/>
        <color rgb="FFF8696B"/>
        <color rgb="FFFFEB84"/>
        <color rgb="FF63BE7B"/>
      </colorScale>
    </cfRule>
  </conditionalFormatting>
  <conditionalFormatting sqref="W38:X39">
    <cfRule type="colorScale" priority="5">
      <colorScale>
        <cfvo type="min"/>
        <cfvo type="percentile" val="50"/>
        <cfvo type="max"/>
        <color rgb="FFF8696B"/>
        <color rgb="FFFFEB84"/>
        <color rgb="FF63BE7B"/>
      </colorScale>
    </cfRule>
  </conditionalFormatting>
  <conditionalFormatting sqref="W37:X39">
    <cfRule type="colorScale" priority="3">
      <colorScale>
        <cfvo type="min"/>
        <cfvo type="percentile" val="50"/>
        <cfvo type="max"/>
        <color rgb="FFF8696B"/>
        <color rgb="FFFFEB84"/>
        <color rgb="FF63BE7B"/>
      </colorScale>
    </cfRule>
  </conditionalFormatting>
  <conditionalFormatting sqref="X25:X27">
    <cfRule type="colorScale" priority="1">
      <colorScale>
        <cfvo type="min"/>
        <cfvo type="percentile" val="50"/>
        <cfvo type="max"/>
        <color rgb="FFF8696B"/>
        <color rgb="FFFFEB84"/>
        <color rgb="FF63BE7B"/>
      </colorScale>
    </cfRule>
  </conditionalFormatting>
  <conditionalFormatting sqref="W9:X24 W25:W27">
    <cfRule type="colorScale" priority="47">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scale="88" fitToHeight="0" orientation="landscape" r:id="rId1"/>
  <headerFooter>
    <oddHeader>&amp;CTiltaksliste vann</oddHeader>
    <oddFooter>&amp;CTiltaksliste -   Kommunedelplan VAO Krødsherad kommune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31133-5DED-423B-838C-3F29D9FFA1E2}">
  <sheetPr>
    <pageSetUpPr fitToPage="1"/>
  </sheetPr>
  <dimension ref="A1:AG12"/>
  <sheetViews>
    <sheetView zoomScaleNormal="100" zoomScaleSheetLayoutView="90" workbookViewId="0">
      <selection activeCell="E14" sqref="E14"/>
    </sheetView>
  </sheetViews>
  <sheetFormatPr baseColWidth="10" defaultColWidth="11.44140625" defaultRowHeight="14.4" x14ac:dyDescent="0.3"/>
  <cols>
    <col min="1" max="1" width="6" style="12" customWidth="1"/>
    <col min="2" max="2" width="17.88671875" style="1" customWidth="1"/>
    <col min="3" max="3" width="85.109375" style="27" customWidth="1"/>
    <col min="4" max="4" width="7.88671875" style="14" customWidth="1"/>
    <col min="5" max="5" width="11.5546875" style="14" customWidth="1"/>
    <col min="6" max="6" width="11.33203125" style="14" customWidth="1"/>
    <col min="7" max="7" width="11" style="16" customWidth="1"/>
    <col min="8" max="8" width="10.33203125" style="12" customWidth="1"/>
  </cols>
  <sheetData>
    <row r="1" spans="1:33" x14ac:dyDescent="0.3">
      <c r="C1" s="117"/>
    </row>
    <row r="2" spans="1:33" ht="23.4" x14ac:dyDescent="0.3">
      <c r="A2" s="475" t="s">
        <v>228</v>
      </c>
      <c r="B2" s="463"/>
      <c r="C2" s="463"/>
      <c r="D2" s="463"/>
      <c r="E2" s="463"/>
      <c r="F2" s="463"/>
      <c r="G2" s="463"/>
      <c r="H2" s="463"/>
    </row>
    <row r="3" spans="1:33" ht="21" hidden="1" x14ac:dyDescent="0.3">
      <c r="A3" s="46"/>
      <c r="B3" s="47"/>
      <c r="C3" s="45"/>
      <c r="D3" s="47"/>
      <c r="E3" s="47"/>
      <c r="F3" s="48"/>
      <c r="G3" s="75"/>
      <c r="H3" s="192"/>
    </row>
    <row r="4" spans="1:33" ht="28.8" x14ac:dyDescent="0.3">
      <c r="A4" s="10" t="s">
        <v>0</v>
      </c>
      <c r="B4" s="6" t="s">
        <v>160</v>
      </c>
      <c r="C4" s="6" t="s">
        <v>8</v>
      </c>
      <c r="D4" s="13" t="s">
        <v>9</v>
      </c>
      <c r="E4" s="13" t="s">
        <v>229</v>
      </c>
      <c r="F4" s="102" t="s">
        <v>227</v>
      </c>
      <c r="G4" s="304" t="s">
        <v>29</v>
      </c>
      <c r="H4" s="193" t="s">
        <v>230</v>
      </c>
    </row>
    <row r="5" spans="1:33" s="39" customFormat="1" ht="62.25" customHeight="1" x14ac:dyDescent="0.3">
      <c r="A5" s="11" t="s">
        <v>70</v>
      </c>
      <c r="B5" s="43" t="s">
        <v>71</v>
      </c>
      <c r="C5" s="3" t="s">
        <v>72</v>
      </c>
      <c r="D5" s="239">
        <v>300</v>
      </c>
      <c r="E5" s="239">
        <v>2000</v>
      </c>
      <c r="F5" s="238">
        <f>D5*E5</f>
        <v>600000</v>
      </c>
      <c r="G5" s="106">
        <v>3</v>
      </c>
      <c r="H5" s="210">
        <v>2025</v>
      </c>
      <c r="I5" s="9"/>
      <c r="J5" s="9"/>
      <c r="K5" s="9"/>
      <c r="L5" s="9"/>
      <c r="M5" s="9"/>
      <c r="N5" s="9"/>
      <c r="O5" s="9"/>
      <c r="P5" s="9"/>
      <c r="Q5" s="9"/>
      <c r="R5" s="9"/>
      <c r="S5" s="9"/>
      <c r="T5" s="9"/>
      <c r="U5" s="9"/>
      <c r="V5" s="9"/>
      <c r="W5" s="9"/>
      <c r="X5" s="9"/>
      <c r="Y5" s="9"/>
      <c r="Z5" s="9"/>
      <c r="AA5" s="9"/>
      <c r="AB5" s="9"/>
      <c r="AC5" s="9"/>
      <c r="AD5" s="9"/>
      <c r="AE5" s="9"/>
      <c r="AF5" s="9"/>
      <c r="AG5" s="9"/>
    </row>
    <row r="6" spans="1:33" s="9" customFormat="1" ht="64.5" customHeight="1" x14ac:dyDescent="0.3">
      <c r="A6" s="11" t="s">
        <v>85</v>
      </c>
      <c r="B6" s="43" t="s">
        <v>86</v>
      </c>
      <c r="C6" s="3" t="s">
        <v>87</v>
      </c>
      <c r="D6" s="240">
        <v>165</v>
      </c>
      <c r="E6" s="240">
        <v>1500</v>
      </c>
      <c r="F6" s="238">
        <f>D6*E6</f>
        <v>247500</v>
      </c>
      <c r="G6" s="106">
        <v>3</v>
      </c>
      <c r="H6" s="210">
        <v>2026</v>
      </c>
    </row>
    <row r="7" spans="1:33" s="9" customFormat="1" ht="28.8" x14ac:dyDescent="0.3">
      <c r="A7" s="11" t="s">
        <v>96</v>
      </c>
      <c r="B7" s="43" t="s">
        <v>97</v>
      </c>
      <c r="C7" s="3" t="s">
        <v>98</v>
      </c>
      <c r="D7" s="240">
        <v>200</v>
      </c>
      <c r="E7" s="240">
        <v>2000</v>
      </c>
      <c r="F7" s="238">
        <f>D7*E7</f>
        <v>400000</v>
      </c>
      <c r="G7" s="106">
        <v>3</v>
      </c>
      <c r="H7" s="210">
        <v>2027</v>
      </c>
    </row>
    <row r="8" spans="1:33" s="22" customFormat="1" ht="43.2" x14ac:dyDescent="0.3">
      <c r="A8" s="11" t="s">
        <v>88</v>
      </c>
      <c r="B8" s="43" t="s">
        <v>89</v>
      </c>
      <c r="C8" s="3" t="s">
        <v>90</v>
      </c>
      <c r="D8" s="240">
        <v>125</v>
      </c>
      <c r="E8" s="240">
        <v>1500</v>
      </c>
      <c r="F8" s="238">
        <f>D8*E8</f>
        <v>187500</v>
      </c>
      <c r="G8" s="106">
        <v>3</v>
      </c>
      <c r="H8" s="210">
        <v>2026</v>
      </c>
    </row>
    <row r="9" spans="1:33" x14ac:dyDescent="0.3">
      <c r="A9" s="118" t="s">
        <v>186</v>
      </c>
      <c r="B9" s="118"/>
      <c r="C9" s="119"/>
      <c r="D9" s="120">
        <f>SUM(D4:D7)</f>
        <v>665</v>
      </c>
      <c r="E9" s="121"/>
      <c r="F9" s="122">
        <f>SUM(F4:F8)</f>
        <v>1435000</v>
      </c>
      <c r="G9"/>
      <c r="H9"/>
    </row>
    <row r="10" spans="1:33" x14ac:dyDescent="0.3">
      <c r="A10" s="17"/>
      <c r="B10" s="18"/>
      <c r="C10" s="26"/>
      <c r="D10" s="19"/>
      <c r="E10" s="19"/>
      <c r="F10" s="20"/>
      <c r="G10" s="74"/>
    </row>
    <row r="12" spans="1:33" x14ac:dyDescent="0.3">
      <c r="B12" s="23"/>
    </row>
  </sheetData>
  <mergeCells count="1">
    <mergeCell ref="A2:H2"/>
  </mergeCells>
  <conditionalFormatting sqref="G6">
    <cfRule type="colorScale" priority="1">
      <colorScale>
        <cfvo type="min"/>
        <cfvo type="percentile" val="50"/>
        <cfvo type="max"/>
        <color rgb="FFF8696B"/>
        <color rgb="FFFFEB84"/>
        <color rgb="FF63BE7B"/>
      </colorScale>
    </cfRule>
  </conditionalFormatting>
  <conditionalFormatting sqref="G7:G8 G5">
    <cfRule type="colorScale" priority="14">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scale="95" orientation="landscape" r:id="rId1"/>
  <headerFooter>
    <oddHeader>&amp;CTilaksliste overvann</oddHeader>
    <oddFooter>&amp;CTiltaksliste -Kommunedelplan VAO Krødsherad kommune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1"/>
  <sheetViews>
    <sheetView topLeftCell="A3" zoomScale="90" zoomScaleNormal="90" zoomScaleSheetLayoutView="100" workbookViewId="0">
      <selection activeCell="C6" sqref="C6:C9"/>
    </sheetView>
  </sheetViews>
  <sheetFormatPr baseColWidth="10" defaultColWidth="11.44140625" defaultRowHeight="14.4" x14ac:dyDescent="0.3"/>
  <cols>
    <col min="1" max="1" width="11.109375" style="192" customWidth="1"/>
    <col min="2" max="2" width="25.6640625" style="172" customWidth="1"/>
    <col min="3" max="3" width="105.109375" style="8" customWidth="1"/>
    <col min="4" max="5" width="12.109375" customWidth="1"/>
    <col min="6" max="6" width="22.88671875" style="192" customWidth="1"/>
    <col min="7" max="7" width="35.5546875" customWidth="1"/>
  </cols>
  <sheetData>
    <row r="1" spans="1:13" x14ac:dyDescent="0.3">
      <c r="B1" s="178"/>
      <c r="C1" s="180" t="s">
        <v>231</v>
      </c>
      <c r="D1" s="171"/>
      <c r="E1" s="171"/>
    </row>
    <row r="2" spans="1:13" ht="47.25" customHeight="1" x14ac:dyDescent="0.3">
      <c r="A2" s="476" t="s">
        <v>232</v>
      </c>
      <c r="B2" s="477"/>
      <c r="C2" s="477"/>
      <c r="D2" s="477"/>
      <c r="E2" s="477"/>
      <c r="F2" s="478"/>
      <c r="G2" s="8" t="s">
        <v>197</v>
      </c>
    </row>
    <row r="3" spans="1:13" ht="43.2" x14ac:dyDescent="0.3">
      <c r="A3" s="10" t="s">
        <v>0</v>
      </c>
      <c r="B3" s="163" t="s">
        <v>160</v>
      </c>
      <c r="C3" s="163" t="s">
        <v>8</v>
      </c>
      <c r="D3" s="309" t="s">
        <v>233</v>
      </c>
      <c r="E3" s="309" t="s">
        <v>234</v>
      </c>
      <c r="F3" s="314" t="s">
        <v>235</v>
      </c>
      <c r="G3" s="34"/>
      <c r="H3" s="33"/>
      <c r="I3" s="33"/>
      <c r="J3" s="35"/>
      <c r="K3" s="36"/>
      <c r="L3" s="30"/>
      <c r="M3" s="30"/>
    </row>
    <row r="4" spans="1:13" ht="37.5" customHeight="1" x14ac:dyDescent="0.3">
      <c r="A4" s="312" t="s">
        <v>236</v>
      </c>
      <c r="B4" s="82" t="s">
        <v>237</v>
      </c>
      <c r="C4" s="61" t="s">
        <v>238</v>
      </c>
      <c r="D4" s="310">
        <v>0.2</v>
      </c>
      <c r="E4" s="310">
        <v>0.2</v>
      </c>
      <c r="F4" s="194">
        <v>2023</v>
      </c>
      <c r="G4" s="34"/>
      <c r="H4" s="33"/>
      <c r="I4" s="33"/>
      <c r="J4" s="35"/>
      <c r="K4" s="36"/>
      <c r="L4" s="30"/>
      <c r="M4" s="30"/>
    </row>
    <row r="5" spans="1:13" ht="52.5" customHeight="1" x14ac:dyDescent="0.3">
      <c r="A5" s="312" t="s">
        <v>239</v>
      </c>
      <c r="B5" s="82" t="s">
        <v>240</v>
      </c>
      <c r="C5" s="179" t="s">
        <v>241</v>
      </c>
      <c r="D5" s="310">
        <v>0.2</v>
      </c>
      <c r="E5" s="310">
        <v>0.2</v>
      </c>
      <c r="F5" s="194">
        <v>2024</v>
      </c>
      <c r="G5" s="34"/>
      <c r="H5" s="33"/>
      <c r="I5" s="33"/>
      <c r="J5" s="35"/>
      <c r="K5" s="36"/>
      <c r="L5" s="30"/>
      <c r="M5" s="30"/>
    </row>
    <row r="6" spans="1:13" ht="65.25" customHeight="1" x14ac:dyDescent="0.3">
      <c r="A6" s="312" t="s">
        <v>242</v>
      </c>
      <c r="B6" s="82" t="s">
        <v>243</v>
      </c>
      <c r="C6" s="179" t="s">
        <v>244</v>
      </c>
      <c r="D6" s="310">
        <v>0.1</v>
      </c>
      <c r="E6" s="310">
        <v>0.4</v>
      </c>
      <c r="F6" s="194" t="s">
        <v>245</v>
      </c>
      <c r="G6" s="34"/>
      <c r="H6" s="33"/>
      <c r="I6" s="33"/>
      <c r="J6" s="35"/>
      <c r="K6" s="36"/>
      <c r="L6" s="30"/>
      <c r="M6" s="30"/>
    </row>
    <row r="7" spans="1:13" ht="37.5" customHeight="1" x14ac:dyDescent="0.3">
      <c r="A7" s="312" t="s">
        <v>246</v>
      </c>
      <c r="B7" s="82" t="s">
        <v>247</v>
      </c>
      <c r="C7" s="179" t="s">
        <v>248</v>
      </c>
      <c r="D7" s="310">
        <v>0</v>
      </c>
      <c r="E7" s="310"/>
      <c r="F7" s="280">
        <v>2023</v>
      </c>
      <c r="G7" s="16"/>
      <c r="H7" s="33"/>
      <c r="I7" s="33"/>
      <c r="J7" s="35"/>
      <c r="K7" s="36"/>
      <c r="L7" s="30"/>
      <c r="M7" s="30"/>
    </row>
    <row r="8" spans="1:13" ht="21.75" customHeight="1" x14ac:dyDescent="0.3">
      <c r="A8" s="312" t="s">
        <v>249</v>
      </c>
      <c r="B8" s="82" t="s">
        <v>250</v>
      </c>
      <c r="C8" s="179" t="s">
        <v>251</v>
      </c>
      <c r="D8" s="310">
        <v>0.1</v>
      </c>
      <c r="E8" s="310"/>
      <c r="F8" s="280">
        <v>2023</v>
      </c>
      <c r="G8" s="16"/>
      <c r="H8" s="33"/>
      <c r="I8" s="33"/>
      <c r="J8" s="35"/>
      <c r="K8" s="36"/>
      <c r="L8" s="30"/>
      <c r="M8" s="30"/>
    </row>
    <row r="9" spans="1:13" ht="31.5" customHeight="1" x14ac:dyDescent="0.3">
      <c r="A9" s="312" t="s">
        <v>252</v>
      </c>
      <c r="B9" s="82" t="s">
        <v>253</v>
      </c>
      <c r="C9" s="179" t="s">
        <v>254</v>
      </c>
      <c r="D9" s="310">
        <v>0.2</v>
      </c>
      <c r="E9" s="310"/>
      <c r="F9" s="280">
        <v>2028</v>
      </c>
      <c r="G9" s="16"/>
      <c r="H9" s="33"/>
      <c r="I9" s="33"/>
      <c r="J9" s="35"/>
      <c r="K9" s="36"/>
      <c r="L9" s="30"/>
      <c r="M9" s="30"/>
    </row>
    <row r="10" spans="1:13" ht="39.75" customHeight="1" x14ac:dyDescent="0.3">
      <c r="A10" s="312" t="s">
        <v>255</v>
      </c>
      <c r="B10" s="82" t="s">
        <v>256</v>
      </c>
      <c r="C10" s="179" t="s">
        <v>257</v>
      </c>
      <c r="D10" s="310">
        <v>0.2</v>
      </c>
      <c r="E10" s="310"/>
      <c r="F10" s="280">
        <v>2028</v>
      </c>
      <c r="G10" s="16"/>
      <c r="H10" s="33"/>
      <c r="I10" s="33"/>
      <c r="J10" s="35"/>
      <c r="K10" s="36"/>
      <c r="L10" s="30"/>
      <c r="M10" s="30"/>
    </row>
    <row r="11" spans="1:13" ht="39.75" customHeight="1" x14ac:dyDescent="0.3">
      <c r="A11" s="312" t="s">
        <v>258</v>
      </c>
      <c r="B11" s="82" t="s">
        <v>259</v>
      </c>
      <c r="C11" s="179" t="s">
        <v>260</v>
      </c>
      <c r="D11" s="310">
        <v>0</v>
      </c>
      <c r="E11" s="310"/>
      <c r="F11" s="280">
        <v>2023</v>
      </c>
      <c r="G11" s="16"/>
      <c r="H11" s="33"/>
      <c r="I11" s="33"/>
      <c r="J11" s="35"/>
      <c r="K11" s="36"/>
      <c r="L11" s="30"/>
      <c r="M11" s="30"/>
    </row>
    <row r="12" spans="1:13" ht="44.25" customHeight="1" x14ac:dyDescent="0.3">
      <c r="A12" s="312" t="s">
        <v>261</v>
      </c>
      <c r="B12" s="82" t="s">
        <v>262</v>
      </c>
      <c r="C12" s="179" t="s">
        <v>263</v>
      </c>
      <c r="D12" s="310">
        <v>0</v>
      </c>
      <c r="E12" s="310"/>
      <c r="F12" s="280">
        <v>2023</v>
      </c>
      <c r="G12" s="16"/>
      <c r="H12" s="33"/>
      <c r="I12" s="33"/>
      <c r="J12" s="35"/>
      <c r="K12" s="36"/>
      <c r="L12" s="30"/>
      <c r="M12" s="30"/>
    </row>
    <row r="13" spans="1:13" ht="60.75" customHeight="1" x14ac:dyDescent="0.3">
      <c r="A13" s="312" t="s">
        <v>264</v>
      </c>
      <c r="B13" s="82" t="s">
        <v>265</v>
      </c>
      <c r="C13" s="179" t="s">
        <v>266</v>
      </c>
      <c r="D13" s="310">
        <v>0.4</v>
      </c>
      <c r="E13" s="310"/>
      <c r="F13" s="280" t="s">
        <v>267</v>
      </c>
      <c r="G13" s="16"/>
      <c r="H13" s="33"/>
      <c r="I13" s="33"/>
      <c r="J13" s="35"/>
      <c r="K13" s="36"/>
      <c r="L13" s="30"/>
      <c r="M13" s="30"/>
    </row>
    <row r="14" spans="1:13" ht="60.75" customHeight="1" x14ac:dyDescent="0.3">
      <c r="A14" s="312" t="s">
        <v>268</v>
      </c>
      <c r="B14" s="82" t="s">
        <v>269</v>
      </c>
      <c r="C14" s="179" t="s">
        <v>270</v>
      </c>
      <c r="D14" s="310">
        <v>0.2</v>
      </c>
      <c r="E14" s="310"/>
      <c r="F14" s="280">
        <v>2024</v>
      </c>
      <c r="G14" s="16"/>
      <c r="H14" s="33"/>
      <c r="I14" s="33"/>
      <c r="J14" s="35"/>
      <c r="K14" s="36"/>
      <c r="L14" s="30"/>
      <c r="M14" s="30"/>
    </row>
    <row r="15" spans="1:13" ht="49.2" customHeight="1" x14ac:dyDescent="0.3">
      <c r="A15" s="312" t="s">
        <v>271</v>
      </c>
      <c r="B15" s="82" t="s">
        <v>272</v>
      </c>
      <c r="C15" s="179" t="s">
        <v>273</v>
      </c>
      <c r="D15" s="310"/>
      <c r="E15" s="310"/>
      <c r="F15" s="280">
        <v>2024</v>
      </c>
      <c r="G15" s="16"/>
      <c r="H15" s="33"/>
      <c r="I15" s="33"/>
      <c r="J15" s="35"/>
      <c r="K15" s="36"/>
      <c r="L15" s="30"/>
      <c r="M15" s="30"/>
    </row>
    <row r="16" spans="1:13" ht="74.400000000000006" customHeight="1" x14ac:dyDescent="0.3">
      <c r="A16" s="312" t="s">
        <v>274</v>
      </c>
      <c r="B16" s="82" t="s">
        <v>275</v>
      </c>
      <c r="C16" s="179" t="s">
        <v>276</v>
      </c>
      <c r="D16" s="310">
        <v>0</v>
      </c>
      <c r="E16" s="310"/>
      <c r="F16" s="194" t="s">
        <v>277</v>
      </c>
      <c r="G16" s="34"/>
      <c r="H16" s="33"/>
      <c r="I16" s="33"/>
      <c r="J16" s="35"/>
      <c r="K16" s="36"/>
      <c r="L16" s="30"/>
      <c r="M16" s="30"/>
    </row>
    <row r="17" spans="1:7" ht="166.5" customHeight="1" x14ac:dyDescent="0.3">
      <c r="A17" s="312" t="s">
        <v>278</v>
      </c>
      <c r="B17" s="82" t="s">
        <v>279</v>
      </c>
      <c r="C17" s="179" t="s">
        <v>280</v>
      </c>
      <c r="D17" s="310">
        <v>0</v>
      </c>
      <c r="E17" s="310"/>
      <c r="F17" s="194" t="s">
        <v>281</v>
      </c>
      <c r="G17" s="97"/>
    </row>
    <row r="18" spans="1:7" ht="80.25" customHeight="1" x14ac:dyDescent="0.3">
      <c r="A18" s="312" t="s">
        <v>282</v>
      </c>
      <c r="B18" s="82" t="s">
        <v>283</v>
      </c>
      <c r="C18" s="179" t="s">
        <v>284</v>
      </c>
      <c r="D18" s="310">
        <v>0</v>
      </c>
      <c r="E18" s="310"/>
      <c r="F18" s="194" t="s">
        <v>285</v>
      </c>
      <c r="G18" s="97"/>
    </row>
    <row r="19" spans="1:7" ht="101.25" customHeight="1" x14ac:dyDescent="0.3">
      <c r="A19" s="312" t="s">
        <v>286</v>
      </c>
      <c r="B19" s="105" t="s">
        <v>287</v>
      </c>
      <c r="C19" s="2" t="s">
        <v>288</v>
      </c>
      <c r="D19" s="310">
        <v>0</v>
      </c>
      <c r="E19" s="310"/>
      <c r="F19" s="193" t="s">
        <v>289</v>
      </c>
      <c r="G19" s="97"/>
    </row>
    <row r="20" spans="1:7" ht="168" customHeight="1" x14ac:dyDescent="0.3">
      <c r="A20" s="312" t="s">
        <v>290</v>
      </c>
      <c r="B20" s="105" t="s">
        <v>291</v>
      </c>
      <c r="C20" s="2" t="s">
        <v>292</v>
      </c>
      <c r="D20" s="310">
        <v>0</v>
      </c>
      <c r="E20" s="310"/>
      <c r="F20" s="194" t="s">
        <v>293</v>
      </c>
      <c r="G20" s="97"/>
    </row>
    <row r="21" spans="1:7" ht="94.5" customHeight="1" x14ac:dyDescent="0.3">
      <c r="A21" s="312" t="s">
        <v>294</v>
      </c>
      <c r="B21" s="105" t="s">
        <v>295</v>
      </c>
      <c r="C21" s="2" t="s">
        <v>296</v>
      </c>
      <c r="D21" s="310">
        <v>0</v>
      </c>
      <c r="E21" s="310"/>
      <c r="F21" s="194" t="s">
        <v>297</v>
      </c>
      <c r="G21" s="97"/>
    </row>
    <row r="22" spans="1:7" ht="125.25" customHeight="1" x14ac:dyDescent="0.3">
      <c r="A22" s="312" t="s">
        <v>298</v>
      </c>
      <c r="B22" s="105" t="s">
        <v>299</v>
      </c>
      <c r="C22" s="2" t="s">
        <v>300</v>
      </c>
      <c r="D22" s="310">
        <v>0</v>
      </c>
      <c r="E22" s="310"/>
      <c r="F22" s="194" t="s">
        <v>297</v>
      </c>
      <c r="G22" s="97"/>
    </row>
    <row r="23" spans="1:7" ht="48.75" customHeight="1" x14ac:dyDescent="0.3">
      <c r="A23" s="312" t="s">
        <v>301</v>
      </c>
      <c r="B23" s="105" t="s">
        <v>302</v>
      </c>
      <c r="C23" s="2" t="s">
        <v>303</v>
      </c>
      <c r="D23" s="310">
        <v>0.6</v>
      </c>
      <c r="E23" s="310">
        <f>D23/3</f>
        <v>0.19999999999999998</v>
      </c>
      <c r="F23" s="194" t="s">
        <v>304</v>
      </c>
      <c r="G23" s="208"/>
    </row>
    <row r="24" spans="1:7" ht="39.75" customHeight="1" x14ac:dyDescent="0.3">
      <c r="A24" s="312" t="s">
        <v>305</v>
      </c>
      <c r="B24" s="105" t="s">
        <v>306</v>
      </c>
      <c r="C24" s="2" t="s">
        <v>307</v>
      </c>
      <c r="D24" s="310">
        <v>0</v>
      </c>
      <c r="E24" s="310"/>
      <c r="F24" s="194">
        <v>2023</v>
      </c>
      <c r="G24" s="97"/>
    </row>
    <row r="25" spans="1:7" ht="102" customHeight="1" x14ac:dyDescent="0.3">
      <c r="A25" s="312" t="s">
        <v>308</v>
      </c>
      <c r="B25" s="105" t="s">
        <v>309</v>
      </c>
      <c r="C25" s="2" t="s">
        <v>310</v>
      </c>
      <c r="D25" s="310">
        <v>0</v>
      </c>
      <c r="E25" s="310"/>
      <c r="F25" s="194" t="s">
        <v>311</v>
      </c>
      <c r="G25" s="97"/>
    </row>
    <row r="26" spans="1:7" ht="42" customHeight="1" x14ac:dyDescent="0.3">
      <c r="A26" s="312" t="s">
        <v>312</v>
      </c>
      <c r="B26" s="105" t="s">
        <v>313</v>
      </c>
      <c r="C26" s="2" t="s">
        <v>314</v>
      </c>
      <c r="D26" s="310">
        <v>0</v>
      </c>
      <c r="E26" s="310"/>
      <c r="F26" s="194">
        <v>2024</v>
      </c>
      <c r="G26" s="97"/>
    </row>
    <row r="27" spans="1:7" ht="38.4" customHeight="1" x14ac:dyDescent="0.3">
      <c r="A27" s="312" t="s">
        <v>315</v>
      </c>
      <c r="B27" s="105" t="s">
        <v>316</v>
      </c>
      <c r="C27" s="2" t="s">
        <v>317</v>
      </c>
      <c r="D27" s="310">
        <v>0.40200000000000002</v>
      </c>
      <c r="E27" s="310"/>
      <c r="F27" s="194">
        <v>2023</v>
      </c>
      <c r="G27" s="97"/>
    </row>
    <row r="28" spans="1:7" ht="62.4" customHeight="1" x14ac:dyDescent="0.3">
      <c r="A28" s="312" t="s">
        <v>318</v>
      </c>
      <c r="B28" s="105" t="s">
        <v>319</v>
      </c>
      <c r="C28" s="2" t="s">
        <v>320</v>
      </c>
      <c r="D28" s="310">
        <v>0</v>
      </c>
      <c r="E28" s="310"/>
      <c r="F28" s="194" t="s">
        <v>321</v>
      </c>
      <c r="G28" s="97"/>
    </row>
    <row r="29" spans="1:7" ht="48" customHeight="1" x14ac:dyDescent="0.3">
      <c r="A29" s="312" t="s">
        <v>322</v>
      </c>
      <c r="B29" s="105" t="s">
        <v>323</v>
      </c>
      <c r="C29" s="2" t="s">
        <v>324</v>
      </c>
      <c r="D29" s="310">
        <v>0</v>
      </c>
      <c r="E29" s="310"/>
      <c r="F29" s="194">
        <v>2023</v>
      </c>
      <c r="G29" s="97"/>
    </row>
    <row r="30" spans="1:7" x14ac:dyDescent="0.3">
      <c r="A30" s="313"/>
      <c r="B30" s="6" t="s">
        <v>186</v>
      </c>
      <c r="C30" s="164"/>
      <c r="D30" s="311">
        <f>SUM(D17:D29)</f>
        <v>1.002</v>
      </c>
      <c r="F30" s="195"/>
      <c r="G30" s="8"/>
    </row>
    <row r="31" spans="1:7" x14ac:dyDescent="0.3">
      <c r="A31" s="244"/>
      <c r="B31" s="1"/>
      <c r="D31" s="158"/>
      <c r="E31" s="158"/>
      <c r="F31" s="195"/>
      <c r="G31" s="8"/>
    </row>
    <row r="32" spans="1:7" x14ac:dyDescent="0.3">
      <c r="A32" s="244"/>
      <c r="B32" s="1"/>
      <c r="D32" s="158"/>
      <c r="E32" s="158"/>
      <c r="F32" s="195"/>
      <c r="G32" s="8"/>
    </row>
    <row r="33" spans="1:7" x14ac:dyDescent="0.3">
      <c r="A33" s="244"/>
      <c r="B33" s="1"/>
      <c r="C33" s="166"/>
      <c r="D33" s="158"/>
      <c r="E33" s="158"/>
      <c r="F33" s="195"/>
      <c r="G33" s="8"/>
    </row>
    <row r="34" spans="1:7" ht="63.75" customHeight="1" x14ac:dyDescent="0.3">
      <c r="A34" s="244"/>
      <c r="B34" s="1"/>
      <c r="C34" s="166"/>
      <c r="D34" s="158"/>
      <c r="E34" s="158"/>
      <c r="F34" s="195"/>
      <c r="G34" s="8"/>
    </row>
    <row r="35" spans="1:7" x14ac:dyDescent="0.3">
      <c r="A35" s="244"/>
      <c r="B35" s="1"/>
      <c r="D35" s="159"/>
      <c r="E35" s="159"/>
      <c r="F35" s="195"/>
      <c r="G35" s="8"/>
    </row>
    <row r="36" spans="1:7" x14ac:dyDescent="0.3">
      <c r="A36" s="244"/>
      <c r="B36" s="1"/>
      <c r="D36" s="158"/>
      <c r="E36" s="158"/>
      <c r="F36" s="195"/>
      <c r="G36" s="8"/>
    </row>
    <row r="37" spans="1:7" x14ac:dyDescent="0.3">
      <c r="A37" s="244"/>
      <c r="B37" s="33"/>
      <c r="C37" s="166"/>
      <c r="D37" s="158"/>
      <c r="E37" s="158"/>
      <c r="F37" s="195"/>
      <c r="G37" s="8"/>
    </row>
    <row r="38" spans="1:7" x14ac:dyDescent="0.3">
      <c r="A38" s="244"/>
      <c r="B38" s="33"/>
      <c r="C38" s="166"/>
      <c r="D38" s="160"/>
      <c r="E38" s="160"/>
      <c r="F38" s="195"/>
      <c r="G38" s="8"/>
    </row>
    <row r="39" spans="1:7" x14ac:dyDescent="0.3">
      <c r="A39" s="244"/>
      <c r="B39" s="1"/>
      <c r="C39" s="166"/>
      <c r="D39" s="161"/>
      <c r="E39" s="161"/>
      <c r="F39" s="195"/>
      <c r="G39" s="8"/>
    </row>
    <row r="40" spans="1:7" x14ac:dyDescent="0.3">
      <c r="A40" s="244"/>
      <c r="B40" s="162"/>
      <c r="C40" s="27"/>
      <c r="D40" s="158"/>
      <c r="E40" s="158"/>
      <c r="F40" s="195"/>
      <c r="G40" s="8"/>
    </row>
    <row r="41" spans="1:7" x14ac:dyDescent="0.3">
      <c r="B41" s="162"/>
    </row>
  </sheetData>
  <mergeCells count="1">
    <mergeCell ref="A2:F2"/>
  </mergeCells>
  <pageMargins left="0.70866141732283472" right="0.70866141732283472" top="0.74803149606299213" bottom="0.74803149606299213" header="0.31496062992125984" footer="0.31496062992125984"/>
  <pageSetup paperSize="8" scale="92" fitToHeight="0" orientation="portrait" horizontalDpi="300" verticalDpi="300" r:id="rId1"/>
  <headerFooter>
    <oddHeader>&amp;C&amp;A</oddHeader>
    <oddFooter>&amp;CTiltaksliste - Kommunedelplan VAO Krødsherad kommune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topLeftCell="A16" workbookViewId="0">
      <selection activeCell="E11" sqref="E11"/>
    </sheetView>
  </sheetViews>
  <sheetFormatPr baseColWidth="10" defaultColWidth="11.44140625" defaultRowHeight="14.4" x14ac:dyDescent="0.3"/>
  <cols>
    <col min="1" max="1" width="7" style="192" customWidth="1"/>
    <col min="2" max="2" width="33.44140625" customWidth="1"/>
    <col min="3" max="3" width="90.44140625" customWidth="1"/>
    <col min="4" max="4" width="11.44140625" style="192"/>
    <col min="5" max="5" width="17" style="244" customWidth="1"/>
  </cols>
  <sheetData>
    <row r="1" spans="1:12" x14ac:dyDescent="0.3">
      <c r="A1" s="294"/>
      <c r="B1" s="168"/>
      <c r="C1" s="169" t="s">
        <v>325</v>
      </c>
    </row>
    <row r="2" spans="1:12" ht="21" x14ac:dyDescent="0.3">
      <c r="A2" s="481" t="s">
        <v>326</v>
      </c>
      <c r="B2" s="482"/>
      <c r="C2" s="482"/>
      <c r="D2" s="482"/>
      <c r="E2" s="483"/>
      <c r="F2" s="88"/>
      <c r="G2" s="83"/>
      <c r="H2" s="83"/>
      <c r="I2" s="83"/>
      <c r="J2" s="83"/>
    </row>
    <row r="3" spans="1:12" ht="28.8" x14ac:dyDescent="0.3">
      <c r="A3" s="295" t="s">
        <v>0</v>
      </c>
      <c r="B3" s="170" t="s">
        <v>160</v>
      </c>
      <c r="C3" s="170" t="s">
        <v>8</v>
      </c>
      <c r="D3" s="299" t="s">
        <v>327</v>
      </c>
      <c r="E3" s="243" t="s">
        <v>200</v>
      </c>
      <c r="F3" s="209"/>
      <c r="G3" s="84"/>
      <c r="H3" s="84"/>
      <c r="I3" s="85"/>
      <c r="J3" s="86"/>
      <c r="K3" s="30"/>
      <c r="L3" s="30"/>
    </row>
    <row r="4" spans="1:12" ht="28.8" x14ac:dyDescent="0.3">
      <c r="A4" s="194" t="s">
        <v>328</v>
      </c>
      <c r="B4" s="184" t="s">
        <v>329</v>
      </c>
      <c r="C4" s="2" t="s">
        <v>330</v>
      </c>
      <c r="D4" s="300">
        <v>0.3</v>
      </c>
      <c r="E4" s="194">
        <v>2023</v>
      </c>
      <c r="F4" s="209"/>
      <c r="G4" s="84"/>
      <c r="H4" s="84"/>
      <c r="I4" s="85"/>
      <c r="J4" s="86"/>
      <c r="K4" s="30"/>
      <c r="L4" s="30"/>
    </row>
    <row r="5" spans="1:12" ht="34.5" customHeight="1" x14ac:dyDescent="0.3">
      <c r="A5" s="194" t="s">
        <v>331</v>
      </c>
      <c r="B5" s="184" t="s">
        <v>332</v>
      </c>
      <c r="C5" s="2" t="s">
        <v>333</v>
      </c>
      <c r="D5" s="276" t="s">
        <v>170</v>
      </c>
      <c r="E5" s="194">
        <v>2024</v>
      </c>
      <c r="F5" s="209"/>
      <c r="G5" s="84"/>
      <c r="H5" s="84"/>
      <c r="I5" s="85"/>
      <c r="J5" s="86"/>
      <c r="K5" s="30"/>
      <c r="L5" s="30"/>
    </row>
    <row r="6" spans="1:12" ht="28.8" x14ac:dyDescent="0.3">
      <c r="A6" s="194" t="s">
        <v>334</v>
      </c>
      <c r="B6" s="184" t="s">
        <v>335</v>
      </c>
      <c r="C6" s="2" t="s">
        <v>336</v>
      </c>
      <c r="D6" s="276" t="s">
        <v>170</v>
      </c>
      <c r="E6" s="194">
        <v>2025</v>
      </c>
      <c r="F6" s="209"/>
      <c r="G6" s="84"/>
      <c r="H6" s="84"/>
      <c r="I6" s="85"/>
      <c r="J6" s="86"/>
      <c r="K6" s="30"/>
      <c r="L6" s="30"/>
    </row>
    <row r="7" spans="1:12" ht="34.799999999999997" customHeight="1" x14ac:dyDescent="0.3">
      <c r="A7" s="194" t="s">
        <v>337</v>
      </c>
      <c r="B7" s="184" t="s">
        <v>338</v>
      </c>
      <c r="C7" s="2" t="s">
        <v>339</v>
      </c>
      <c r="D7" s="276">
        <v>0.3</v>
      </c>
      <c r="E7" s="194">
        <v>2023</v>
      </c>
      <c r="F7" s="209"/>
      <c r="G7" s="84"/>
      <c r="H7" s="84"/>
      <c r="I7" s="85"/>
      <c r="J7" s="86"/>
      <c r="K7" s="30"/>
      <c r="L7" s="30"/>
    </row>
    <row r="8" spans="1:12" x14ac:dyDescent="0.3">
      <c r="A8" s="194" t="s">
        <v>340</v>
      </c>
      <c r="B8" s="184" t="s">
        <v>341</v>
      </c>
      <c r="C8" s="2" t="s">
        <v>342</v>
      </c>
      <c r="D8" s="300"/>
      <c r="E8" s="194" t="s">
        <v>218</v>
      </c>
      <c r="F8" s="209"/>
      <c r="G8" s="84"/>
      <c r="H8" s="84"/>
      <c r="I8" s="85"/>
      <c r="J8" s="86"/>
      <c r="K8" s="30"/>
      <c r="L8" s="30"/>
    </row>
    <row r="9" spans="1:12" ht="91.8" customHeight="1" x14ac:dyDescent="0.3">
      <c r="A9" s="194" t="s">
        <v>343</v>
      </c>
      <c r="B9" s="184" t="s">
        <v>344</v>
      </c>
      <c r="C9" s="2" t="s">
        <v>490</v>
      </c>
      <c r="D9" s="300"/>
      <c r="E9" s="194">
        <v>2027</v>
      </c>
      <c r="F9" s="88"/>
      <c r="G9" s="83"/>
      <c r="H9" s="83"/>
      <c r="I9" s="83"/>
      <c r="J9" s="83"/>
    </row>
    <row r="10" spans="1:12" ht="53.4" customHeight="1" x14ac:dyDescent="0.3">
      <c r="A10" s="194" t="s">
        <v>489</v>
      </c>
      <c r="B10" s="184" t="s">
        <v>491</v>
      </c>
      <c r="C10" s="2" t="s">
        <v>492</v>
      </c>
      <c r="D10" s="276" t="s">
        <v>170</v>
      </c>
      <c r="E10" s="194">
        <v>2023</v>
      </c>
      <c r="F10" s="88"/>
      <c r="G10" s="83"/>
      <c r="H10" s="83"/>
      <c r="I10" s="83"/>
      <c r="J10" s="83"/>
    </row>
    <row r="11" spans="1:12" ht="112.5" customHeight="1" x14ac:dyDescent="0.3">
      <c r="A11" s="194" t="s">
        <v>345</v>
      </c>
      <c r="B11" s="184" t="s">
        <v>346</v>
      </c>
      <c r="C11" s="2" t="s">
        <v>347</v>
      </c>
      <c r="D11" s="300">
        <v>0</v>
      </c>
      <c r="E11" s="193" t="s">
        <v>348</v>
      </c>
      <c r="F11" s="88"/>
      <c r="G11" s="83"/>
      <c r="H11" s="83"/>
      <c r="I11" s="83"/>
      <c r="J11" s="83"/>
    </row>
    <row r="12" spans="1:12" ht="60.75" customHeight="1" x14ac:dyDescent="0.3">
      <c r="A12" s="194" t="s">
        <v>349</v>
      </c>
      <c r="B12" s="184" t="s">
        <v>350</v>
      </c>
      <c r="C12" s="2" t="s">
        <v>351</v>
      </c>
      <c r="D12" s="300">
        <v>0</v>
      </c>
      <c r="E12" s="193" t="s">
        <v>352</v>
      </c>
      <c r="F12" s="88"/>
      <c r="G12" s="83"/>
      <c r="H12" s="83"/>
      <c r="I12" s="83"/>
      <c r="J12" s="83"/>
    </row>
    <row r="13" spans="1:12" ht="50.25" customHeight="1" x14ac:dyDescent="0.3">
      <c r="A13" s="194" t="s">
        <v>353</v>
      </c>
      <c r="B13" s="105" t="s">
        <v>354</v>
      </c>
      <c r="C13" s="241" t="s">
        <v>355</v>
      </c>
      <c r="D13" s="300">
        <v>2</v>
      </c>
      <c r="E13" s="193">
        <v>2023</v>
      </c>
      <c r="F13" s="88"/>
      <c r="G13" s="83"/>
      <c r="H13" s="83"/>
      <c r="I13" s="83"/>
      <c r="J13" s="83"/>
    </row>
    <row r="14" spans="1:12" ht="43.2" x14ac:dyDescent="0.3">
      <c r="A14" s="194" t="s">
        <v>356</v>
      </c>
      <c r="B14" s="105" t="s">
        <v>357</v>
      </c>
      <c r="C14" s="241" t="s">
        <v>358</v>
      </c>
      <c r="D14" s="301">
        <v>0.2</v>
      </c>
      <c r="E14" s="193">
        <v>2023</v>
      </c>
      <c r="F14" s="174"/>
      <c r="G14" s="87"/>
      <c r="H14" s="83"/>
      <c r="I14" s="83"/>
      <c r="J14" s="83"/>
    </row>
    <row r="15" spans="1:12" ht="243.6" customHeight="1" x14ac:dyDescent="0.3">
      <c r="A15" s="194" t="s">
        <v>359</v>
      </c>
      <c r="B15" s="105" t="s">
        <v>360</v>
      </c>
      <c r="C15" s="241" t="s">
        <v>361</v>
      </c>
      <c r="D15" s="302">
        <v>0.1</v>
      </c>
      <c r="E15" s="193">
        <v>2023</v>
      </c>
      <c r="F15" s="174"/>
      <c r="G15" s="87"/>
      <c r="H15" s="83"/>
      <c r="I15" s="83"/>
      <c r="J15" s="83"/>
    </row>
    <row r="16" spans="1:12" ht="57.6" x14ac:dyDescent="0.3">
      <c r="A16" s="194" t="s">
        <v>362</v>
      </c>
      <c r="B16" s="105" t="s">
        <v>363</v>
      </c>
      <c r="C16" s="2" t="s">
        <v>364</v>
      </c>
      <c r="D16" s="302">
        <v>0.1</v>
      </c>
      <c r="E16" s="194" t="s">
        <v>365</v>
      </c>
      <c r="F16" s="174"/>
      <c r="G16" s="87"/>
      <c r="H16" s="83"/>
      <c r="I16" s="83"/>
      <c r="J16" s="83"/>
    </row>
    <row r="17" spans="1:10" ht="72" x14ac:dyDescent="0.3">
      <c r="A17" s="194" t="s">
        <v>366</v>
      </c>
      <c r="B17" s="105" t="s">
        <v>367</v>
      </c>
      <c r="C17" s="2" t="s">
        <v>368</v>
      </c>
      <c r="D17" s="479">
        <v>0.25</v>
      </c>
      <c r="E17" s="480" t="s">
        <v>369</v>
      </c>
      <c r="F17" s="174"/>
      <c r="G17" s="87"/>
      <c r="H17" s="83"/>
      <c r="I17" s="83"/>
      <c r="J17" s="83"/>
    </row>
    <row r="18" spans="1:10" ht="72" x14ac:dyDescent="0.3">
      <c r="A18" s="194" t="s">
        <v>370</v>
      </c>
      <c r="B18" s="298" t="s">
        <v>371</v>
      </c>
      <c r="C18" s="2" t="s">
        <v>372</v>
      </c>
      <c r="D18" s="479"/>
      <c r="E18" s="480"/>
      <c r="F18" s="174"/>
      <c r="G18" s="87"/>
      <c r="H18" s="83"/>
      <c r="I18" s="83"/>
      <c r="J18" s="83"/>
    </row>
    <row r="19" spans="1:10" ht="57.6" x14ac:dyDescent="0.3">
      <c r="A19" s="194" t="s">
        <v>373</v>
      </c>
      <c r="B19" s="4" t="s">
        <v>374</v>
      </c>
      <c r="C19" s="3" t="s">
        <v>375</v>
      </c>
      <c r="D19" s="479"/>
      <c r="E19" s="480"/>
      <c r="F19" s="88"/>
      <c r="G19" s="83"/>
      <c r="H19" s="83"/>
      <c r="I19" s="83"/>
      <c r="J19" s="83"/>
    </row>
    <row r="20" spans="1:10" x14ac:dyDescent="0.3">
      <c r="A20" s="484" t="s">
        <v>186</v>
      </c>
      <c r="B20" s="485"/>
      <c r="C20" s="486"/>
      <c r="D20" s="318">
        <f>SUM(D11:D19)</f>
        <v>2.6500000000000004</v>
      </c>
      <c r="E20"/>
      <c r="F20" s="88"/>
      <c r="G20" s="83"/>
      <c r="H20" s="83"/>
      <c r="I20" s="83"/>
      <c r="J20" s="83"/>
    </row>
    <row r="21" spans="1:10" x14ac:dyDescent="0.3">
      <c r="A21" s="315"/>
      <c r="B21" s="316"/>
      <c r="C21" s="317"/>
      <c r="D21" s="296"/>
      <c r="E21" s="245"/>
      <c r="F21" s="88"/>
      <c r="G21" s="83"/>
      <c r="H21" s="83"/>
      <c r="I21" s="83"/>
      <c r="J21" s="83"/>
    </row>
    <row r="22" spans="1:10" x14ac:dyDescent="0.3">
      <c r="A22" s="296"/>
      <c r="B22" s="90"/>
      <c r="C22" s="91"/>
      <c r="D22" s="296"/>
      <c r="E22" s="246"/>
      <c r="F22" s="89"/>
      <c r="G22" s="83"/>
      <c r="H22" s="83"/>
      <c r="I22" s="83"/>
      <c r="J22" s="83"/>
    </row>
    <row r="23" spans="1:10" x14ac:dyDescent="0.3">
      <c r="A23" s="296"/>
      <c r="B23" s="90"/>
      <c r="C23" s="91"/>
      <c r="D23" s="296"/>
      <c r="E23" s="246"/>
    </row>
    <row r="24" spans="1:10" x14ac:dyDescent="0.3">
      <c r="A24" s="296"/>
      <c r="B24" s="83"/>
      <c r="C24" s="83"/>
      <c r="D24" s="296"/>
      <c r="E24" s="246"/>
    </row>
    <row r="25" spans="1:10" x14ac:dyDescent="0.3">
      <c r="A25" s="296"/>
      <c r="B25" s="83"/>
      <c r="C25" s="83"/>
      <c r="D25" s="296"/>
      <c r="E25" s="246"/>
    </row>
  </sheetData>
  <mergeCells count="4">
    <mergeCell ref="D17:D19"/>
    <mergeCell ref="E17:E19"/>
    <mergeCell ref="A2:E2"/>
    <mergeCell ref="A20:C20"/>
  </mergeCells>
  <pageMargins left="0.70866141732283472" right="0.70866141732283472" top="0.74803149606299213" bottom="0.74803149606299213" header="0.31496062992125984" footer="0.31496062992125984"/>
  <pageSetup paperSize="8" scale="62" fitToHeight="0" orientation="portrait" horizontalDpi="300" verticalDpi="300" r:id="rId1"/>
  <headerFooter>
    <oddHeader>&amp;CPlantiltak</oddHeader>
    <oddFooter>&amp;CTiltaksliste - Kommunedelplan VAO Krødsherad kommune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9"/>
  <sheetViews>
    <sheetView topLeftCell="A25" zoomScaleNormal="100" workbookViewId="0">
      <selection activeCell="B28" sqref="B28"/>
    </sheetView>
  </sheetViews>
  <sheetFormatPr baseColWidth="10" defaultColWidth="11.44140625" defaultRowHeight="14.4" x14ac:dyDescent="0.3"/>
  <cols>
    <col min="1" max="1" width="14.33203125" style="172" customWidth="1"/>
    <col min="2" max="2" width="19.109375" style="1" customWidth="1"/>
    <col min="3" max="3" width="100.88671875" style="8" customWidth="1"/>
    <col min="4" max="4" width="13.109375" style="12" bestFit="1" customWidth="1"/>
    <col min="5" max="5" width="13.109375" style="12" customWidth="1"/>
    <col min="6" max="6" width="20.109375" style="247" customWidth="1"/>
  </cols>
  <sheetData>
    <row r="1" spans="1:22" x14ac:dyDescent="0.3">
      <c r="C1" s="165" t="s">
        <v>376</v>
      </c>
    </row>
    <row r="2" spans="1:22" s="28" customFormat="1" ht="21" x14ac:dyDescent="0.3">
      <c r="A2" s="490" t="s">
        <v>377</v>
      </c>
      <c r="B2" s="491"/>
      <c r="C2" s="491"/>
      <c r="D2" s="491"/>
      <c r="E2" s="491"/>
      <c r="F2" s="492"/>
      <c r="G2"/>
      <c r="H2"/>
      <c r="I2"/>
      <c r="J2"/>
      <c r="K2"/>
      <c r="L2"/>
      <c r="M2"/>
      <c r="N2"/>
      <c r="O2"/>
      <c r="P2"/>
      <c r="Q2"/>
      <c r="R2"/>
      <c r="S2"/>
      <c r="T2"/>
      <c r="U2"/>
      <c r="V2"/>
    </row>
    <row r="3" spans="1:22" ht="41.25" customHeight="1" x14ac:dyDescent="0.3">
      <c r="A3" s="31" t="s">
        <v>0</v>
      </c>
      <c r="B3" s="32" t="s">
        <v>160</v>
      </c>
      <c r="C3" s="32" t="s">
        <v>8</v>
      </c>
      <c r="D3" s="319" t="s">
        <v>378</v>
      </c>
      <c r="E3" s="319" t="s">
        <v>379</v>
      </c>
      <c r="F3" s="319" t="s">
        <v>200</v>
      </c>
      <c r="G3" s="34"/>
      <c r="H3" s="33"/>
      <c r="I3" s="33"/>
      <c r="J3" s="35"/>
      <c r="K3" s="36"/>
      <c r="L3" s="30"/>
      <c r="M3" s="30"/>
    </row>
    <row r="4" spans="1:22" ht="59.25" customHeight="1" x14ac:dyDescent="0.3">
      <c r="A4" s="177" t="s">
        <v>380</v>
      </c>
      <c r="B4" s="105" t="s">
        <v>381</v>
      </c>
      <c r="C4" s="2" t="s">
        <v>382</v>
      </c>
      <c r="D4" s="320">
        <v>0</v>
      </c>
      <c r="E4" s="320"/>
      <c r="F4" s="193" t="s">
        <v>383</v>
      </c>
    </row>
    <row r="5" spans="1:22" ht="115.5" customHeight="1" x14ac:dyDescent="0.3">
      <c r="A5" s="177" t="s">
        <v>384</v>
      </c>
      <c r="B5" s="105" t="s">
        <v>385</v>
      </c>
      <c r="C5" s="2" t="s">
        <v>386</v>
      </c>
      <c r="D5" s="320">
        <v>10</v>
      </c>
      <c r="E5" s="320">
        <f>D5/10</f>
        <v>1</v>
      </c>
      <c r="F5" s="193" t="s">
        <v>387</v>
      </c>
    </row>
    <row r="6" spans="1:22" ht="63.75" customHeight="1" x14ac:dyDescent="0.3">
      <c r="A6" s="177" t="s">
        <v>388</v>
      </c>
      <c r="B6" s="105" t="s">
        <v>389</v>
      </c>
      <c r="C6" s="2" t="s">
        <v>390</v>
      </c>
      <c r="D6" s="320">
        <v>0</v>
      </c>
      <c r="E6" s="320"/>
      <c r="F6" s="193">
        <v>2023</v>
      </c>
    </row>
    <row r="7" spans="1:22" ht="50.25" customHeight="1" x14ac:dyDescent="0.3">
      <c r="A7" s="177" t="s">
        <v>391</v>
      </c>
      <c r="B7" s="105" t="s">
        <v>392</v>
      </c>
      <c r="C7" s="2" t="s">
        <v>393</v>
      </c>
      <c r="D7" s="321">
        <v>0</v>
      </c>
      <c r="E7" s="321"/>
      <c r="F7" s="193">
        <v>2023</v>
      </c>
    </row>
    <row r="8" spans="1:22" ht="60.75" customHeight="1" x14ac:dyDescent="0.3">
      <c r="A8" s="177" t="s">
        <v>394</v>
      </c>
      <c r="B8" s="105" t="s">
        <v>395</v>
      </c>
      <c r="C8" s="241" t="s">
        <v>396</v>
      </c>
      <c r="D8" s="321">
        <v>0.2</v>
      </c>
      <c r="E8" s="321"/>
      <c r="F8" s="193" t="s">
        <v>397</v>
      </c>
    </row>
    <row r="9" spans="1:22" ht="296.25" customHeight="1" x14ac:dyDescent="0.3">
      <c r="A9" s="177" t="s">
        <v>398</v>
      </c>
      <c r="B9" s="105" t="s">
        <v>399</v>
      </c>
      <c r="C9" s="241" t="s">
        <v>400</v>
      </c>
      <c r="D9" s="321">
        <v>0</v>
      </c>
      <c r="E9" s="321">
        <v>0</v>
      </c>
      <c r="F9" s="193" t="s">
        <v>401</v>
      </c>
    </row>
    <row r="10" spans="1:22" ht="114.75" customHeight="1" x14ac:dyDescent="0.3">
      <c r="A10" s="177" t="s">
        <v>402</v>
      </c>
      <c r="B10" s="105" t="s">
        <v>403</v>
      </c>
      <c r="C10" s="179" t="s">
        <v>404</v>
      </c>
      <c r="D10" s="321">
        <v>0</v>
      </c>
      <c r="E10" s="321">
        <v>0</v>
      </c>
      <c r="F10" s="193" t="s">
        <v>401</v>
      </c>
    </row>
    <row r="11" spans="1:22" ht="78" customHeight="1" x14ac:dyDescent="0.3">
      <c r="A11" s="177" t="s">
        <v>405</v>
      </c>
      <c r="B11" s="82" t="s">
        <v>406</v>
      </c>
      <c r="C11" s="179" t="s">
        <v>407</v>
      </c>
      <c r="D11" s="321">
        <v>0</v>
      </c>
      <c r="E11" s="321"/>
      <c r="F11" s="193" t="s">
        <v>401</v>
      </c>
    </row>
    <row r="12" spans="1:22" ht="84.75" customHeight="1" x14ac:dyDescent="0.3">
      <c r="A12" s="177" t="s">
        <v>408</v>
      </c>
      <c r="B12" s="82" t="s">
        <v>409</v>
      </c>
      <c r="C12" s="179" t="s">
        <v>410</v>
      </c>
      <c r="D12" s="321">
        <v>0</v>
      </c>
      <c r="E12" s="321"/>
      <c r="F12" s="193">
        <v>2023</v>
      </c>
    </row>
    <row r="13" spans="1:22" ht="49.5" customHeight="1" x14ac:dyDescent="0.3">
      <c r="A13" s="177" t="s">
        <v>411</v>
      </c>
      <c r="B13" s="82" t="s">
        <v>412</v>
      </c>
      <c r="C13" s="179" t="s">
        <v>413</v>
      </c>
      <c r="D13" s="321">
        <v>0</v>
      </c>
      <c r="E13" s="321"/>
      <c r="F13" s="193" t="s">
        <v>383</v>
      </c>
    </row>
    <row r="14" spans="1:22" ht="91.5" customHeight="1" x14ac:dyDescent="0.3">
      <c r="A14" s="177" t="s">
        <v>414</v>
      </c>
      <c r="B14" s="105" t="s">
        <v>415</v>
      </c>
      <c r="C14" s="2" t="s">
        <v>416</v>
      </c>
      <c r="D14" s="321">
        <v>0</v>
      </c>
      <c r="E14" s="321"/>
      <c r="F14" s="193" t="s">
        <v>417</v>
      </c>
    </row>
    <row r="15" spans="1:22" ht="61.5" customHeight="1" x14ac:dyDescent="0.3">
      <c r="A15" s="173" t="s">
        <v>418</v>
      </c>
      <c r="B15" s="82" t="s">
        <v>419</v>
      </c>
      <c r="C15" s="179" t="s">
        <v>420</v>
      </c>
      <c r="D15" s="321">
        <v>0</v>
      </c>
      <c r="E15" s="321"/>
      <c r="F15" s="193" t="s">
        <v>421</v>
      </c>
    </row>
    <row r="16" spans="1:22" ht="61.5" customHeight="1" x14ac:dyDescent="0.3">
      <c r="A16" s="173" t="s">
        <v>422</v>
      </c>
      <c r="B16" s="82" t="s">
        <v>423</v>
      </c>
      <c r="C16" s="179" t="s">
        <v>424</v>
      </c>
      <c r="D16" s="321">
        <v>0</v>
      </c>
      <c r="E16" s="321"/>
      <c r="F16" s="193">
        <v>2023</v>
      </c>
    </row>
    <row r="17" spans="1:7" ht="63" customHeight="1" x14ac:dyDescent="0.3">
      <c r="A17" s="173" t="s">
        <v>425</v>
      </c>
      <c r="B17" s="105" t="s">
        <v>426</v>
      </c>
      <c r="C17" s="2" t="s">
        <v>427</v>
      </c>
      <c r="D17" s="321">
        <v>0</v>
      </c>
      <c r="E17" s="321"/>
      <c r="F17" s="193" t="s">
        <v>428</v>
      </c>
    </row>
    <row r="18" spans="1:7" ht="47.25" customHeight="1" x14ac:dyDescent="0.3">
      <c r="A18" s="173" t="s">
        <v>429</v>
      </c>
      <c r="B18" s="105" t="s">
        <v>430</v>
      </c>
      <c r="C18" s="2" t="s">
        <v>431</v>
      </c>
      <c r="D18" s="321">
        <v>0</v>
      </c>
      <c r="E18" s="321"/>
      <c r="F18" s="193">
        <v>2023</v>
      </c>
    </row>
    <row r="19" spans="1:7" ht="37.5" customHeight="1" x14ac:dyDescent="0.3">
      <c r="A19" s="173" t="s">
        <v>432</v>
      </c>
      <c r="B19" s="105" t="s">
        <v>433</v>
      </c>
      <c r="C19" s="241" t="s">
        <v>434</v>
      </c>
      <c r="D19" s="321">
        <v>0</v>
      </c>
      <c r="E19" s="321"/>
      <c r="F19" s="193">
        <v>2023</v>
      </c>
    </row>
    <row r="20" spans="1:7" ht="38.25" customHeight="1" x14ac:dyDescent="0.3">
      <c r="A20" s="173" t="s">
        <v>435</v>
      </c>
      <c r="B20" s="105" t="s">
        <v>436</v>
      </c>
      <c r="C20" s="241" t="s">
        <v>437</v>
      </c>
      <c r="D20" s="321">
        <v>0</v>
      </c>
      <c r="E20" s="321"/>
      <c r="F20" s="193">
        <v>2023</v>
      </c>
    </row>
    <row r="21" spans="1:7" ht="35.25" customHeight="1" x14ac:dyDescent="0.3">
      <c r="A21" s="173" t="s">
        <v>438</v>
      </c>
      <c r="B21" s="105" t="s">
        <v>439</v>
      </c>
      <c r="C21" s="241" t="s">
        <v>440</v>
      </c>
      <c r="D21" s="321">
        <v>0</v>
      </c>
      <c r="E21" s="321"/>
      <c r="F21" s="193">
        <v>2023</v>
      </c>
    </row>
    <row r="22" spans="1:7" ht="30" customHeight="1" x14ac:dyDescent="0.3">
      <c r="A22" s="173" t="s">
        <v>441</v>
      </c>
      <c r="B22" s="105" t="s">
        <v>442</v>
      </c>
      <c r="C22" s="241" t="s">
        <v>443</v>
      </c>
      <c r="D22" s="321">
        <v>0</v>
      </c>
      <c r="E22" s="321"/>
      <c r="F22" s="193">
        <v>2023</v>
      </c>
    </row>
    <row r="23" spans="1:7" ht="149.25" customHeight="1" x14ac:dyDescent="0.3">
      <c r="A23" s="173" t="s">
        <v>444</v>
      </c>
      <c r="B23" s="105" t="s">
        <v>445</v>
      </c>
      <c r="C23" s="241" t="s">
        <v>446</v>
      </c>
      <c r="D23" s="321">
        <v>0</v>
      </c>
      <c r="E23" s="321">
        <v>0</v>
      </c>
      <c r="F23" s="193">
        <v>2023</v>
      </c>
    </row>
    <row r="24" spans="1:7" ht="64.5" customHeight="1" x14ac:dyDescent="0.3">
      <c r="A24" s="173" t="s">
        <v>447</v>
      </c>
      <c r="B24" s="105" t="s">
        <v>448</v>
      </c>
      <c r="C24" s="241" t="s">
        <v>449</v>
      </c>
      <c r="D24" s="321">
        <v>0</v>
      </c>
      <c r="E24" s="321">
        <v>0</v>
      </c>
      <c r="F24" s="193">
        <v>2024</v>
      </c>
    </row>
    <row r="25" spans="1:7" ht="64.5" customHeight="1" x14ac:dyDescent="0.3">
      <c r="A25" s="173" t="s">
        <v>447</v>
      </c>
      <c r="B25" s="105" t="s">
        <v>450</v>
      </c>
      <c r="C25" s="241" t="s">
        <v>451</v>
      </c>
      <c r="D25" s="321">
        <v>0</v>
      </c>
      <c r="E25" s="321">
        <v>0</v>
      </c>
      <c r="F25" s="193">
        <v>2023</v>
      </c>
    </row>
    <row r="26" spans="1:7" ht="76.5" customHeight="1" x14ac:dyDescent="0.3">
      <c r="A26" s="177" t="s">
        <v>452</v>
      </c>
      <c r="B26" s="105" t="s">
        <v>453</v>
      </c>
      <c r="C26" s="2" t="s">
        <v>454</v>
      </c>
      <c r="D26" s="321">
        <v>0</v>
      </c>
      <c r="E26" s="321"/>
      <c r="F26" s="193">
        <v>2023</v>
      </c>
    </row>
    <row r="27" spans="1:7" ht="93.75" customHeight="1" x14ac:dyDescent="0.3">
      <c r="A27" s="177" t="s">
        <v>455</v>
      </c>
      <c r="B27" s="105" t="s">
        <v>501</v>
      </c>
      <c r="C27" s="2" t="s">
        <v>456</v>
      </c>
      <c r="D27" s="321">
        <v>0</v>
      </c>
      <c r="E27" s="321">
        <v>0</v>
      </c>
      <c r="F27" s="193">
        <v>2023</v>
      </c>
    </row>
    <row r="28" spans="1:7" ht="135" customHeight="1" x14ac:dyDescent="0.3">
      <c r="A28" s="177" t="s">
        <v>457</v>
      </c>
      <c r="B28" s="82" t="s">
        <v>458</v>
      </c>
      <c r="C28" s="3" t="s">
        <v>459</v>
      </c>
      <c r="D28" s="234">
        <v>1</v>
      </c>
      <c r="E28" s="234">
        <f>D28/10</f>
        <v>0.1</v>
      </c>
      <c r="F28" s="194" t="s">
        <v>460</v>
      </c>
      <c r="G28" s="211"/>
    </row>
    <row r="29" spans="1:7" ht="15" customHeight="1" x14ac:dyDescent="0.3">
      <c r="A29" s="487" t="s">
        <v>461</v>
      </c>
      <c r="B29" s="488"/>
      <c r="C29" s="489"/>
      <c r="D29" s="31">
        <f>SUM(D5:D28)</f>
        <v>11.2</v>
      </c>
      <c r="E29"/>
      <c r="F29"/>
    </row>
  </sheetData>
  <mergeCells count="2">
    <mergeCell ref="A29:C29"/>
    <mergeCell ref="A2:F2"/>
  </mergeCells>
  <pageMargins left="0.70866141732283472" right="0.70866141732283472" top="0.74803149606299213" bottom="0.74803149606299213" header="0.31496062992125984" footer="0.31496062992125984"/>
  <pageSetup paperSize="9" scale="45" orientation="portrait" r:id="rId1"/>
  <headerFooter>
    <oddHeader>&amp;CAdministrative tiltak</oddHeader>
    <oddFooter>&amp;CTiltaksliste - Kommunedelplan VAO Krødsherad kommune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3"/>
  <sheetViews>
    <sheetView topLeftCell="A3" zoomScale="85" zoomScaleNormal="85" zoomScaleSheetLayoutView="90" workbookViewId="0">
      <pane ySplit="6" topLeftCell="A9" activePane="bottomLeft" state="frozen"/>
      <selection activeCell="A3" sqref="A3"/>
      <selection pane="bottomLeft" activeCell="C17" sqref="C17"/>
    </sheetView>
  </sheetViews>
  <sheetFormatPr baseColWidth="10" defaultColWidth="11.44140625" defaultRowHeight="14.4" x14ac:dyDescent="0.3"/>
  <cols>
    <col min="1" max="1" width="7.6640625" style="12" customWidth="1"/>
    <col min="2" max="2" width="39.5546875" style="1" customWidth="1"/>
    <col min="3" max="3" width="86.44140625" style="27" customWidth="1"/>
    <col min="4" max="4" width="7.88671875" style="14" customWidth="1"/>
    <col min="5" max="5" width="15" style="14" customWidth="1"/>
    <col min="6" max="8" width="11.33203125" style="14" customWidth="1"/>
    <col min="9" max="10" width="11.5546875" style="100" customWidth="1"/>
    <col min="11" max="11" width="15.44140625" style="34" customWidth="1"/>
    <col min="12" max="12" width="49.109375" style="14" customWidth="1"/>
    <col min="13" max="13" width="28.33203125" style="5" customWidth="1"/>
    <col min="14" max="14" width="16.33203125" customWidth="1"/>
    <col min="15" max="15" width="11.44140625" customWidth="1"/>
    <col min="16" max="16" width="7.6640625" customWidth="1"/>
    <col min="17" max="17" width="9.6640625" customWidth="1"/>
    <col min="18" max="18" width="7.44140625" customWidth="1"/>
    <col min="19" max="19" width="8.44140625" customWidth="1"/>
    <col min="20" max="20" width="10.33203125" customWidth="1"/>
    <col min="21" max="21" width="6.88671875" customWidth="1"/>
    <col min="22" max="22" width="7.5546875" customWidth="1"/>
    <col min="23" max="23" width="10.88671875" style="75" customWidth="1"/>
  </cols>
  <sheetData>
    <row r="1" spans="1:26" ht="15.6" x14ac:dyDescent="0.3">
      <c r="Q1" s="115" t="s">
        <v>189</v>
      </c>
    </row>
    <row r="2" spans="1:26" x14ac:dyDescent="0.3">
      <c r="S2" s="63" t="s">
        <v>5</v>
      </c>
      <c r="T2" s="63" t="s">
        <v>6</v>
      </c>
      <c r="U2" s="65">
        <v>0.5</v>
      </c>
    </row>
    <row r="3" spans="1:26" x14ac:dyDescent="0.3">
      <c r="A3"/>
      <c r="B3"/>
      <c r="C3"/>
      <c r="D3"/>
      <c r="E3"/>
      <c r="F3"/>
      <c r="G3"/>
      <c r="H3"/>
      <c r="I3"/>
      <c r="J3"/>
      <c r="K3"/>
      <c r="L3"/>
      <c r="M3"/>
      <c r="S3" s="63"/>
      <c r="T3" s="63" t="s">
        <v>159</v>
      </c>
      <c r="U3" s="65">
        <v>0</v>
      </c>
    </row>
    <row r="4" spans="1:26" ht="23.4" x14ac:dyDescent="0.45">
      <c r="A4" s="116" t="s">
        <v>462</v>
      </c>
      <c r="B4"/>
      <c r="C4"/>
      <c r="D4"/>
      <c r="E4"/>
      <c r="F4"/>
      <c r="G4"/>
      <c r="H4"/>
      <c r="I4"/>
      <c r="J4"/>
      <c r="K4"/>
      <c r="L4"/>
      <c r="M4"/>
      <c r="S4" s="63"/>
      <c r="T4" s="63" t="s">
        <v>30</v>
      </c>
      <c r="U4" s="65">
        <v>0.5</v>
      </c>
    </row>
    <row r="5" spans="1:26" ht="21" x14ac:dyDescent="0.3">
      <c r="A5" s="58"/>
      <c r="B5" s="58"/>
      <c r="C5" s="58"/>
      <c r="D5" s="58"/>
      <c r="E5" s="58"/>
      <c r="F5" s="58"/>
      <c r="G5" s="58"/>
      <c r="H5" s="58"/>
      <c r="I5" s="110"/>
      <c r="J5" s="110"/>
      <c r="K5" s="58"/>
      <c r="L5" s="58"/>
      <c r="M5" s="58"/>
    </row>
    <row r="6" spans="1:26" ht="43.2" x14ac:dyDescent="0.3">
      <c r="A6" s="111"/>
      <c r="B6" s="111"/>
      <c r="C6" s="112" t="s">
        <v>463</v>
      </c>
      <c r="D6" s="111"/>
      <c r="E6" s="111"/>
      <c r="F6" s="111"/>
      <c r="G6" s="111"/>
      <c r="H6" s="111"/>
      <c r="I6" s="113"/>
      <c r="J6" s="113"/>
      <c r="K6" s="111"/>
      <c r="L6" s="111"/>
      <c r="M6" s="111"/>
      <c r="N6" s="472" t="s">
        <v>198</v>
      </c>
      <c r="O6" s="472" t="s">
        <v>22</v>
      </c>
      <c r="P6" s="473" t="s">
        <v>24</v>
      </c>
      <c r="Q6" s="473"/>
      <c r="R6" s="473"/>
      <c r="S6" s="469" t="s">
        <v>5</v>
      </c>
      <c r="T6" s="469"/>
      <c r="U6" s="469"/>
      <c r="V6" s="99" t="s">
        <v>2</v>
      </c>
      <c r="W6" s="77" t="s">
        <v>3</v>
      </c>
      <c r="X6" s="77" t="s">
        <v>200</v>
      </c>
    </row>
    <row r="7" spans="1:26" ht="43.2" x14ac:dyDescent="0.3">
      <c r="A7" s="10" t="s">
        <v>0</v>
      </c>
      <c r="B7" s="6" t="s">
        <v>160</v>
      </c>
      <c r="C7" s="6" t="s">
        <v>8</v>
      </c>
      <c r="D7" s="13" t="s">
        <v>9</v>
      </c>
      <c r="E7" s="13" t="s">
        <v>226</v>
      </c>
      <c r="F7" s="13" t="s">
        <v>201</v>
      </c>
      <c r="G7" s="13" t="s">
        <v>464</v>
      </c>
      <c r="H7" s="13" t="s">
        <v>465</v>
      </c>
      <c r="I7" s="102" t="s">
        <v>194</v>
      </c>
      <c r="J7" s="102" t="s">
        <v>195</v>
      </c>
      <c r="K7" s="15" t="s">
        <v>196</v>
      </c>
      <c r="L7" s="13" t="s">
        <v>197</v>
      </c>
      <c r="M7" s="7" t="s">
        <v>18</v>
      </c>
      <c r="N7" s="472"/>
      <c r="O7" s="472"/>
      <c r="P7" s="78" t="s">
        <v>25</v>
      </c>
      <c r="Q7" s="78" t="s">
        <v>26</v>
      </c>
      <c r="R7" s="78" t="s">
        <v>27</v>
      </c>
      <c r="S7" s="157" t="s">
        <v>202</v>
      </c>
      <c r="T7" s="157" t="s">
        <v>29</v>
      </c>
      <c r="U7" s="157" t="s">
        <v>30</v>
      </c>
      <c r="V7" s="76"/>
      <c r="W7" s="76"/>
      <c r="X7" s="76"/>
    </row>
    <row r="8" spans="1:26" x14ac:dyDescent="0.3">
      <c r="A8" s="106"/>
      <c r="B8" s="105"/>
      <c r="C8" s="2"/>
      <c r="D8" s="29"/>
      <c r="E8" s="29"/>
      <c r="F8" s="29"/>
      <c r="G8" s="29"/>
      <c r="H8" s="29"/>
      <c r="I8" s="107"/>
      <c r="J8" s="107"/>
      <c r="K8" s="15"/>
      <c r="L8" s="13"/>
      <c r="M8" s="7"/>
      <c r="N8" s="38"/>
      <c r="O8" s="38"/>
      <c r="P8" s="38"/>
      <c r="Q8" s="38"/>
      <c r="R8" s="38"/>
      <c r="S8" s="38"/>
      <c r="T8" s="38"/>
      <c r="U8" s="38"/>
      <c r="V8" s="38"/>
      <c r="W8" s="79"/>
    </row>
    <row r="9" spans="1:26" s="9" customFormat="1" ht="75" customHeight="1" x14ac:dyDescent="0.3">
      <c r="A9" s="11" t="s">
        <v>31</v>
      </c>
      <c r="B9" s="25" t="s">
        <v>32</v>
      </c>
      <c r="C9" s="3" t="s">
        <v>205</v>
      </c>
      <c r="D9" s="24">
        <v>100</v>
      </c>
      <c r="E9" s="24">
        <v>100</v>
      </c>
      <c r="F9" s="24"/>
      <c r="G9" s="24">
        <v>1</v>
      </c>
      <c r="H9" s="24">
        <v>600000</v>
      </c>
      <c r="I9" s="214">
        <f>(D9*6000+G9*H9)/1000000</f>
        <v>1.2</v>
      </c>
      <c r="J9" s="214"/>
      <c r="K9" s="42">
        <f t="shared" ref="K9:K20" si="0">((I9-I$35)/(I$34-I$35))*2+1</f>
        <v>2.85</v>
      </c>
      <c r="L9" s="24"/>
      <c r="M9" s="24"/>
      <c r="N9" s="66"/>
      <c r="O9" s="66"/>
      <c r="P9" s="80">
        <f>K9</f>
        <v>2.85</v>
      </c>
      <c r="Q9" s="70">
        <v>1</v>
      </c>
      <c r="R9" s="70">
        <v>2</v>
      </c>
      <c r="S9" s="70">
        <f>$U$2</f>
        <v>0.5</v>
      </c>
      <c r="T9" s="70">
        <f>$U$3</f>
        <v>0</v>
      </c>
      <c r="U9" s="70">
        <f>$U$4</f>
        <v>0.5</v>
      </c>
      <c r="V9" s="215">
        <f>P9*$U$2+Q9*$U$3+R9*$U$4</f>
        <v>2.4249999999999998</v>
      </c>
      <c r="W9" s="126">
        <f>_xlfn.RANK.EQ(V9,(V$9:V$30),0)</f>
        <v>3</v>
      </c>
      <c r="Z9" s="73" t="s">
        <v>466</v>
      </c>
    </row>
    <row r="10" spans="1:26" s="9" customFormat="1" ht="75" customHeight="1" x14ac:dyDescent="0.3">
      <c r="A10" s="11" t="s">
        <v>92</v>
      </c>
      <c r="B10" s="25" t="s">
        <v>93</v>
      </c>
      <c r="C10" s="3" t="s">
        <v>206</v>
      </c>
      <c r="D10" s="24">
        <v>600</v>
      </c>
      <c r="E10" s="24">
        <v>600</v>
      </c>
      <c r="F10" s="24"/>
      <c r="G10" s="24"/>
      <c r="H10" s="24"/>
      <c r="I10" s="214">
        <f t="shared" ref="I10:I12" si="1">(D10*6000+G10*H10)/1000000</f>
        <v>3.6</v>
      </c>
      <c r="J10" s="214"/>
      <c r="K10" s="42">
        <f t="shared" si="0"/>
        <v>2.5499999999999998</v>
      </c>
      <c r="L10" s="24" t="s">
        <v>467</v>
      </c>
      <c r="M10" s="24"/>
      <c r="N10" s="66"/>
      <c r="O10" s="66"/>
      <c r="P10" s="80">
        <f t="shared" ref="P10:P15" si="2">K10</f>
        <v>2.5499999999999998</v>
      </c>
      <c r="Q10" s="70">
        <v>1</v>
      </c>
      <c r="R10" s="70">
        <v>2</v>
      </c>
      <c r="S10" s="70">
        <f>$U$2</f>
        <v>0.5</v>
      </c>
      <c r="T10" s="70">
        <f>$U$3</f>
        <v>0</v>
      </c>
      <c r="U10" s="70">
        <f>$U$4</f>
        <v>0.5</v>
      </c>
      <c r="V10" s="215">
        <f>P10*$U$2+Q10*$U$3+R10*$U$4</f>
        <v>2.2749999999999999</v>
      </c>
      <c r="W10" s="126">
        <f t="shared" ref="W10:W30" si="3">_xlfn.RANK.EQ(V10,(V$9:V$30),0)</f>
        <v>4</v>
      </c>
      <c r="Z10" s="73"/>
    </row>
    <row r="11" spans="1:26" s="9" customFormat="1" ht="48.75" customHeight="1" x14ac:dyDescent="0.3">
      <c r="A11" s="11" t="s">
        <v>468</v>
      </c>
      <c r="B11" s="25" t="s">
        <v>469</v>
      </c>
      <c r="C11" s="3" t="s">
        <v>470</v>
      </c>
      <c r="D11" s="24"/>
      <c r="E11" s="24"/>
      <c r="F11" s="24"/>
      <c r="G11" s="24"/>
      <c r="H11" s="24"/>
      <c r="I11" s="214">
        <f t="shared" si="1"/>
        <v>0</v>
      </c>
      <c r="J11" s="214"/>
      <c r="K11" s="42">
        <f t="shared" si="0"/>
        <v>3</v>
      </c>
      <c r="L11" s="24" t="s">
        <v>471</v>
      </c>
      <c r="M11" s="24"/>
      <c r="N11" s="66"/>
      <c r="O11" s="66"/>
      <c r="P11" s="80">
        <f t="shared" si="2"/>
        <v>3</v>
      </c>
      <c r="Q11" s="70">
        <v>1</v>
      </c>
      <c r="R11" s="70"/>
      <c r="S11" s="70">
        <f t="shared" ref="S11:S18" si="4">$U$2</f>
        <v>0.5</v>
      </c>
      <c r="T11" s="70">
        <f t="shared" ref="T11:T18" si="5">$U$3</f>
        <v>0</v>
      </c>
      <c r="U11" s="70">
        <f t="shared" ref="U11:U18" si="6">$U$4</f>
        <v>0.5</v>
      </c>
      <c r="V11" s="215">
        <f t="shared" ref="V11:V20" si="7">P11*$U$2+Q11*$U$3+R11*$U$4</f>
        <v>1.5</v>
      </c>
      <c r="W11" s="126">
        <f t="shared" si="3"/>
        <v>6</v>
      </c>
      <c r="Z11" s="73"/>
    </row>
    <row r="12" spans="1:26" s="9" customFormat="1" ht="54.75" customHeight="1" x14ac:dyDescent="0.3">
      <c r="A12" s="11" t="s">
        <v>472</v>
      </c>
      <c r="B12" s="25" t="s">
        <v>469</v>
      </c>
      <c r="C12" s="3" t="s">
        <v>473</v>
      </c>
      <c r="D12" s="24"/>
      <c r="E12" s="24"/>
      <c r="F12" s="24"/>
      <c r="G12" s="24"/>
      <c r="H12" s="24"/>
      <c r="I12" s="214">
        <f t="shared" si="1"/>
        <v>0</v>
      </c>
      <c r="J12" s="214"/>
      <c r="K12" s="42">
        <f t="shared" si="0"/>
        <v>3</v>
      </c>
      <c r="L12" s="24" t="s">
        <v>471</v>
      </c>
      <c r="M12" s="24"/>
      <c r="N12" s="66"/>
      <c r="O12" s="66"/>
      <c r="P12" s="80">
        <f t="shared" si="2"/>
        <v>3</v>
      </c>
      <c r="Q12" s="70">
        <v>1</v>
      </c>
      <c r="R12" s="70"/>
      <c r="S12" s="70">
        <f t="shared" si="4"/>
        <v>0.5</v>
      </c>
      <c r="T12" s="70">
        <f t="shared" si="5"/>
        <v>0</v>
      </c>
      <c r="U12" s="70">
        <f t="shared" si="6"/>
        <v>0.5</v>
      </c>
      <c r="V12" s="215">
        <f t="shared" si="7"/>
        <v>1.5</v>
      </c>
      <c r="W12" s="126">
        <f t="shared" si="3"/>
        <v>6</v>
      </c>
      <c r="Z12" s="73"/>
    </row>
    <row r="13" spans="1:26" s="9" customFormat="1" ht="32.25" customHeight="1" x14ac:dyDescent="0.3">
      <c r="A13" s="11" t="s">
        <v>474</v>
      </c>
      <c r="B13" s="25" t="s">
        <v>59</v>
      </c>
      <c r="C13" s="3" t="s">
        <v>475</v>
      </c>
      <c r="D13" s="24"/>
      <c r="E13" s="24"/>
      <c r="F13" s="24"/>
      <c r="G13" s="24"/>
      <c r="H13" s="24"/>
      <c r="I13" s="214"/>
      <c r="J13" s="214"/>
      <c r="K13" s="42">
        <f t="shared" si="0"/>
        <v>3</v>
      </c>
      <c r="L13" s="24"/>
      <c r="M13" s="24"/>
      <c r="N13" s="66"/>
      <c r="O13" s="66"/>
      <c r="P13" s="80">
        <f t="shared" si="2"/>
        <v>3</v>
      </c>
      <c r="Q13" s="70">
        <v>1</v>
      </c>
      <c r="R13" s="70"/>
      <c r="S13" s="70">
        <f t="shared" si="4"/>
        <v>0.5</v>
      </c>
      <c r="T13" s="70">
        <f t="shared" si="5"/>
        <v>0</v>
      </c>
      <c r="U13" s="70">
        <f t="shared" si="6"/>
        <v>0.5</v>
      </c>
      <c r="V13" s="215">
        <f t="shared" si="7"/>
        <v>1.5</v>
      </c>
      <c r="W13" s="126">
        <f t="shared" si="3"/>
        <v>6</v>
      </c>
      <c r="Z13" s="73"/>
    </row>
    <row r="14" spans="1:26" s="9" customFormat="1" ht="32.25" customHeight="1" x14ac:dyDescent="0.3">
      <c r="A14" s="11" t="s">
        <v>476</v>
      </c>
      <c r="B14" s="25" t="s">
        <v>477</v>
      </c>
      <c r="C14" s="3"/>
      <c r="D14" s="24"/>
      <c r="E14" s="24"/>
      <c r="F14" s="24"/>
      <c r="G14" s="24"/>
      <c r="H14" s="24"/>
      <c r="I14" s="214"/>
      <c r="J14" s="214"/>
      <c r="K14" s="42">
        <f t="shared" si="0"/>
        <v>3</v>
      </c>
      <c r="L14" s="24"/>
      <c r="M14" s="24"/>
      <c r="N14" s="66"/>
      <c r="O14" s="66"/>
      <c r="P14" s="80">
        <f t="shared" si="2"/>
        <v>3</v>
      </c>
      <c r="Q14" s="70">
        <v>1</v>
      </c>
      <c r="R14" s="70"/>
      <c r="S14" s="70">
        <f t="shared" si="4"/>
        <v>0.5</v>
      </c>
      <c r="T14" s="70">
        <f t="shared" si="5"/>
        <v>0</v>
      </c>
      <c r="U14" s="70">
        <f t="shared" si="6"/>
        <v>0.5</v>
      </c>
      <c r="V14" s="215">
        <f t="shared" si="7"/>
        <v>1.5</v>
      </c>
      <c r="W14" s="126">
        <f t="shared" si="3"/>
        <v>6</v>
      </c>
      <c r="Z14" s="73"/>
    </row>
    <row r="15" spans="1:26" s="9" customFormat="1" ht="32.25" customHeight="1" x14ac:dyDescent="0.3">
      <c r="A15" s="11" t="s">
        <v>478</v>
      </c>
      <c r="B15" s="25" t="s">
        <v>59</v>
      </c>
      <c r="C15" s="24"/>
      <c r="D15" s="40"/>
      <c r="E15" s="40"/>
      <c r="F15" s="40"/>
      <c r="G15" s="40"/>
      <c r="H15" s="40"/>
      <c r="I15" s="214"/>
      <c r="J15" s="214"/>
      <c r="K15" s="42">
        <f t="shared" si="0"/>
        <v>3</v>
      </c>
      <c r="L15" s="40"/>
      <c r="M15" s="24"/>
      <c r="N15" s="66"/>
      <c r="O15" s="66"/>
      <c r="P15" s="80">
        <f t="shared" si="2"/>
        <v>3</v>
      </c>
      <c r="Q15" s="70">
        <v>1</v>
      </c>
      <c r="R15" s="70"/>
      <c r="S15" s="70">
        <f t="shared" si="4"/>
        <v>0.5</v>
      </c>
      <c r="T15" s="70">
        <f t="shared" si="5"/>
        <v>0</v>
      </c>
      <c r="U15" s="70">
        <f t="shared" si="6"/>
        <v>0.5</v>
      </c>
      <c r="V15" s="215">
        <f t="shared" si="7"/>
        <v>1.5</v>
      </c>
      <c r="W15" s="126">
        <f t="shared" si="3"/>
        <v>6</v>
      </c>
    </row>
    <row r="16" spans="1:26" s="9" customFormat="1" ht="81.75" customHeight="1" x14ac:dyDescent="0.3">
      <c r="A16" s="11" t="s">
        <v>103</v>
      </c>
      <c r="B16" s="25" t="s">
        <v>479</v>
      </c>
      <c r="C16" s="217" t="s">
        <v>480</v>
      </c>
      <c r="D16" s="40"/>
      <c r="E16" s="40"/>
      <c r="F16" s="40"/>
      <c r="G16" s="40"/>
      <c r="H16" s="40"/>
      <c r="I16" s="214"/>
      <c r="J16" s="214"/>
      <c r="K16" s="42">
        <f t="shared" si="0"/>
        <v>3</v>
      </c>
      <c r="L16" s="40"/>
      <c r="M16" s="24"/>
      <c r="N16" s="66"/>
      <c r="O16" s="66"/>
      <c r="P16" s="80"/>
      <c r="Q16" s="70"/>
      <c r="R16" s="70"/>
      <c r="S16" s="70">
        <f t="shared" si="4"/>
        <v>0.5</v>
      </c>
      <c r="T16" s="70">
        <f t="shared" si="5"/>
        <v>0</v>
      </c>
      <c r="U16" s="70">
        <f t="shared" si="6"/>
        <v>0.5</v>
      </c>
      <c r="V16" s="215">
        <f t="shared" si="7"/>
        <v>0</v>
      </c>
      <c r="W16" s="126">
        <f t="shared" si="3"/>
        <v>11</v>
      </c>
      <c r="X16" s="9" t="s">
        <v>481</v>
      </c>
    </row>
    <row r="17" spans="1:24" s="9" customFormat="1" ht="32.25" customHeight="1" x14ac:dyDescent="0.3">
      <c r="A17" s="11" t="s">
        <v>74</v>
      </c>
      <c r="B17" s="25" t="s">
        <v>482</v>
      </c>
      <c r="C17" s="61" t="s">
        <v>483</v>
      </c>
      <c r="D17" s="40"/>
      <c r="E17" s="40"/>
      <c r="F17" s="40"/>
      <c r="G17" s="40"/>
      <c r="H17" s="40"/>
      <c r="I17" s="214"/>
      <c r="J17" s="214"/>
      <c r="K17" s="42">
        <f t="shared" si="0"/>
        <v>3</v>
      </c>
      <c r="L17" s="40"/>
      <c r="M17" s="24"/>
      <c r="N17" s="66"/>
      <c r="O17" s="66"/>
      <c r="P17" s="80"/>
      <c r="Q17" s="70"/>
      <c r="R17" s="70"/>
      <c r="S17" s="70">
        <f t="shared" si="4"/>
        <v>0.5</v>
      </c>
      <c r="T17" s="70">
        <f t="shared" si="5"/>
        <v>0</v>
      </c>
      <c r="U17" s="70">
        <f t="shared" si="6"/>
        <v>0.5</v>
      </c>
      <c r="V17" s="215">
        <f t="shared" si="7"/>
        <v>0</v>
      </c>
      <c r="W17" s="126">
        <f t="shared" si="3"/>
        <v>11</v>
      </c>
      <c r="X17" s="9" t="s">
        <v>484</v>
      </c>
    </row>
    <row r="18" spans="1:24" s="9" customFormat="1" ht="65.25" customHeight="1" x14ac:dyDescent="0.3">
      <c r="A18" s="11" t="s">
        <v>106</v>
      </c>
      <c r="B18" s="25" t="s">
        <v>107</v>
      </c>
      <c r="C18" s="24" t="s">
        <v>485</v>
      </c>
      <c r="D18" s="40">
        <v>4000</v>
      </c>
      <c r="E18" s="40">
        <v>4000</v>
      </c>
      <c r="F18" s="40"/>
      <c r="G18" s="40"/>
      <c r="H18" s="40"/>
      <c r="I18" s="214">
        <f>D18*E18/1000000</f>
        <v>16</v>
      </c>
      <c r="J18" s="214">
        <f>I18/8</f>
        <v>2</v>
      </c>
      <c r="K18" s="42">
        <f t="shared" si="0"/>
        <v>1</v>
      </c>
      <c r="L18" s="40"/>
      <c r="M18" s="24"/>
      <c r="N18" s="66"/>
      <c r="O18" s="66"/>
      <c r="P18" s="80">
        <f>K18</f>
        <v>1</v>
      </c>
      <c r="Q18" s="70">
        <v>1</v>
      </c>
      <c r="R18" s="70">
        <v>3</v>
      </c>
      <c r="S18" s="70">
        <f t="shared" si="4"/>
        <v>0.5</v>
      </c>
      <c r="T18" s="70">
        <f t="shared" si="5"/>
        <v>0</v>
      </c>
      <c r="U18" s="70">
        <f t="shared" si="6"/>
        <v>0.5</v>
      </c>
      <c r="V18" s="215">
        <f t="shared" si="7"/>
        <v>2</v>
      </c>
      <c r="W18" s="126">
        <f t="shared" si="3"/>
        <v>5</v>
      </c>
    </row>
    <row r="19" spans="1:24" s="9" customFormat="1" ht="65.25" customHeight="1" x14ac:dyDescent="0.3">
      <c r="A19" s="11" t="s">
        <v>78</v>
      </c>
      <c r="B19" s="25" t="s">
        <v>79</v>
      </c>
      <c r="C19" s="24" t="s">
        <v>486</v>
      </c>
      <c r="D19" s="218">
        <v>500</v>
      </c>
      <c r="E19" s="40">
        <v>4000</v>
      </c>
      <c r="F19" s="40"/>
      <c r="G19" s="40"/>
      <c r="H19" s="40"/>
      <c r="I19" s="214">
        <f>D19*E19/1000000</f>
        <v>2</v>
      </c>
      <c r="J19" s="214"/>
      <c r="K19" s="42">
        <f t="shared" si="0"/>
        <v>2.75</v>
      </c>
      <c r="L19" s="40"/>
      <c r="M19" s="24"/>
      <c r="N19" s="66"/>
      <c r="O19" s="66"/>
      <c r="P19" s="80">
        <f t="shared" ref="P19:P20" si="8">K19</f>
        <v>2.75</v>
      </c>
      <c r="Q19" s="70">
        <v>1</v>
      </c>
      <c r="R19" s="70">
        <v>3</v>
      </c>
      <c r="S19" s="70"/>
      <c r="T19" s="70"/>
      <c r="U19" s="70"/>
      <c r="V19" s="215">
        <f t="shared" si="7"/>
        <v>2.875</v>
      </c>
      <c r="W19" s="126">
        <f t="shared" si="3"/>
        <v>1</v>
      </c>
    </row>
    <row r="20" spans="1:24" s="9" customFormat="1" ht="65.25" customHeight="1" x14ac:dyDescent="0.3">
      <c r="A20" s="11" t="s">
        <v>34</v>
      </c>
      <c r="B20" s="25" t="s">
        <v>35</v>
      </c>
      <c r="C20" s="24" t="s">
        <v>487</v>
      </c>
      <c r="D20" s="40">
        <v>39</v>
      </c>
      <c r="E20" s="40">
        <v>100000</v>
      </c>
      <c r="F20" s="40"/>
      <c r="G20" s="40"/>
      <c r="H20" s="40"/>
      <c r="I20" s="214">
        <f>D20*E20/1000000</f>
        <v>3.9</v>
      </c>
      <c r="J20" s="214">
        <f>I20/10</f>
        <v>0.39</v>
      </c>
      <c r="K20" s="42">
        <f t="shared" si="0"/>
        <v>2.5125000000000002</v>
      </c>
      <c r="L20" s="40"/>
      <c r="M20" s="24"/>
      <c r="N20" s="66"/>
      <c r="O20" s="66"/>
      <c r="P20" s="80">
        <f t="shared" si="8"/>
        <v>2.5125000000000002</v>
      </c>
      <c r="Q20" s="70">
        <v>1</v>
      </c>
      <c r="R20" s="70">
        <v>3</v>
      </c>
      <c r="S20" s="70"/>
      <c r="T20" s="70"/>
      <c r="U20" s="70"/>
      <c r="V20" s="215">
        <f t="shared" si="7"/>
        <v>2.7562500000000001</v>
      </c>
      <c r="W20" s="126">
        <f t="shared" si="3"/>
        <v>2</v>
      </c>
    </row>
    <row r="21" spans="1:24" s="9" customFormat="1" ht="65.25" customHeight="1" x14ac:dyDescent="0.3">
      <c r="A21" s="11" t="s">
        <v>37</v>
      </c>
      <c r="B21" s="25" t="s">
        <v>38</v>
      </c>
      <c r="C21" s="24" t="s">
        <v>488</v>
      </c>
      <c r="D21" s="40"/>
      <c r="E21" s="40"/>
      <c r="F21" s="40"/>
      <c r="G21" s="40"/>
      <c r="H21" s="40"/>
      <c r="I21" s="214"/>
      <c r="J21" s="214"/>
      <c r="K21" s="42"/>
      <c r="L21" s="40"/>
      <c r="M21" s="24"/>
      <c r="N21" s="66"/>
      <c r="O21" s="66"/>
      <c r="P21" s="80"/>
      <c r="Q21" s="70"/>
      <c r="R21" s="70"/>
      <c r="S21" s="70"/>
      <c r="T21" s="70"/>
      <c r="U21" s="70"/>
      <c r="V21" s="215"/>
      <c r="W21" s="126">
        <f t="shared" si="3"/>
        <v>11</v>
      </c>
    </row>
    <row r="22" spans="1:24" s="9" customFormat="1" ht="65.25" customHeight="1" x14ac:dyDescent="0.3">
      <c r="A22" s="11" t="s">
        <v>220</v>
      </c>
      <c r="B22" s="25"/>
      <c r="C22" s="24"/>
      <c r="D22" s="40"/>
      <c r="E22" s="40"/>
      <c r="F22" s="40"/>
      <c r="G22" s="40"/>
      <c r="H22" s="40"/>
      <c r="I22" s="214"/>
      <c r="J22" s="214"/>
      <c r="K22" s="42"/>
      <c r="L22" s="40"/>
      <c r="M22" s="24"/>
      <c r="N22" s="66"/>
      <c r="O22" s="66"/>
      <c r="P22" s="80"/>
      <c r="Q22" s="70"/>
      <c r="R22" s="70"/>
      <c r="S22" s="70"/>
      <c r="T22" s="70"/>
      <c r="U22" s="70"/>
      <c r="V22" s="215"/>
      <c r="W22" s="126"/>
    </row>
    <row r="23" spans="1:24" s="9" customFormat="1" ht="65.25" customHeight="1" x14ac:dyDescent="0.3">
      <c r="A23" s="11"/>
      <c r="B23" s="25"/>
      <c r="C23" s="24"/>
      <c r="D23" s="40"/>
      <c r="E23" s="40"/>
      <c r="F23" s="40"/>
      <c r="G23" s="40"/>
      <c r="H23" s="40"/>
      <c r="I23" s="214"/>
      <c r="J23" s="214"/>
      <c r="K23" s="42"/>
      <c r="L23" s="40"/>
      <c r="M23" s="24"/>
      <c r="N23" s="66"/>
      <c r="O23" s="66"/>
      <c r="P23" s="80"/>
      <c r="Q23" s="70"/>
      <c r="R23" s="70"/>
      <c r="S23" s="70"/>
      <c r="T23" s="70"/>
      <c r="U23" s="70"/>
      <c r="V23" s="215"/>
      <c r="W23" s="126"/>
    </row>
    <row r="24" spans="1:24" s="9" customFormat="1" ht="65.25" customHeight="1" x14ac:dyDescent="0.3">
      <c r="A24" s="11"/>
      <c r="B24" s="25"/>
      <c r="C24" s="24"/>
      <c r="D24" s="40"/>
      <c r="E24" s="40"/>
      <c r="F24" s="40"/>
      <c r="G24" s="40"/>
      <c r="H24" s="40"/>
      <c r="I24" s="214"/>
      <c r="J24" s="214"/>
      <c r="K24" s="42"/>
      <c r="L24" s="40"/>
      <c r="M24" s="24"/>
      <c r="N24" s="66"/>
      <c r="O24" s="66"/>
      <c r="P24" s="80"/>
      <c r="Q24" s="70"/>
      <c r="R24" s="70"/>
      <c r="S24" s="70"/>
      <c r="T24" s="70"/>
      <c r="U24" s="70"/>
      <c r="V24" s="215"/>
      <c r="W24" s="126"/>
    </row>
    <row r="25" spans="1:24" s="9" customFormat="1" ht="65.25" customHeight="1" x14ac:dyDescent="0.3">
      <c r="A25" s="11"/>
      <c r="B25" s="25"/>
      <c r="C25" s="24"/>
      <c r="D25" s="40"/>
      <c r="E25" s="40"/>
      <c r="F25" s="40"/>
      <c r="G25" s="40"/>
      <c r="H25" s="40"/>
      <c r="I25" s="214"/>
      <c r="J25" s="214"/>
      <c r="K25" s="42"/>
      <c r="L25" s="40"/>
      <c r="M25" s="24"/>
      <c r="N25" s="66"/>
      <c r="O25" s="66"/>
      <c r="P25" s="80"/>
      <c r="Q25" s="70"/>
      <c r="R25" s="70"/>
      <c r="S25" s="70"/>
      <c r="T25" s="70"/>
      <c r="U25" s="70"/>
      <c r="V25" s="215"/>
      <c r="W25" s="126"/>
    </row>
    <row r="26" spans="1:24" s="9" customFormat="1" ht="65.25" customHeight="1" x14ac:dyDescent="0.3">
      <c r="A26" s="11"/>
      <c r="B26" s="25"/>
      <c r="C26" s="24"/>
      <c r="D26" s="40"/>
      <c r="E26" s="40"/>
      <c r="F26" s="40"/>
      <c r="G26" s="40"/>
      <c r="H26" s="40"/>
      <c r="I26" s="214"/>
      <c r="J26" s="214"/>
      <c r="K26" s="42"/>
      <c r="L26" s="40"/>
      <c r="M26" s="24"/>
      <c r="N26" s="66"/>
      <c r="O26" s="66"/>
      <c r="P26" s="80"/>
      <c r="Q26" s="70"/>
      <c r="R26" s="70"/>
      <c r="S26" s="70"/>
      <c r="T26" s="70"/>
      <c r="U26" s="70"/>
      <c r="V26" s="215"/>
      <c r="W26" s="126"/>
    </row>
    <row r="27" spans="1:24" s="9" customFormat="1" ht="65.25" customHeight="1" x14ac:dyDescent="0.3">
      <c r="A27" s="11"/>
      <c r="B27" s="25"/>
      <c r="C27" s="24"/>
      <c r="D27" s="40"/>
      <c r="E27" s="40"/>
      <c r="F27" s="40"/>
      <c r="G27" s="40"/>
      <c r="H27" s="40"/>
      <c r="I27" s="214"/>
      <c r="J27" s="214"/>
      <c r="K27" s="42"/>
      <c r="L27" s="40"/>
      <c r="M27" s="24"/>
      <c r="N27" s="66"/>
      <c r="O27" s="66"/>
      <c r="P27" s="80"/>
      <c r="Q27" s="70"/>
      <c r="R27" s="70"/>
      <c r="S27" s="70"/>
      <c r="T27" s="70"/>
      <c r="U27" s="70"/>
      <c r="V27" s="215"/>
      <c r="W27" s="126"/>
    </row>
    <row r="28" spans="1:24" s="9" customFormat="1" ht="65.25" customHeight="1" x14ac:dyDescent="0.3">
      <c r="A28" s="11"/>
      <c r="B28" s="25"/>
      <c r="C28" s="24"/>
      <c r="D28" s="40"/>
      <c r="E28" s="40"/>
      <c r="F28" s="40"/>
      <c r="G28" s="40"/>
      <c r="H28" s="40"/>
      <c r="I28" s="214"/>
      <c r="J28" s="214"/>
      <c r="K28" s="42"/>
      <c r="L28" s="40"/>
      <c r="M28" s="24"/>
      <c r="N28" s="66"/>
      <c r="O28" s="66"/>
      <c r="P28" s="80"/>
      <c r="Q28" s="70"/>
      <c r="R28" s="70"/>
      <c r="S28" s="70"/>
      <c r="T28" s="70"/>
      <c r="U28" s="70"/>
      <c r="V28" s="215"/>
      <c r="W28" s="126"/>
    </row>
    <row r="29" spans="1:24" s="9" customFormat="1" ht="65.25" customHeight="1" x14ac:dyDescent="0.3">
      <c r="A29" s="11"/>
      <c r="B29" s="25"/>
      <c r="C29" s="24"/>
      <c r="D29" s="40"/>
      <c r="E29" s="40"/>
      <c r="F29" s="40"/>
      <c r="G29" s="40"/>
      <c r="H29" s="40"/>
      <c r="I29" s="214"/>
      <c r="J29" s="214"/>
      <c r="K29" s="42"/>
      <c r="L29" s="40"/>
      <c r="M29" s="24"/>
      <c r="N29" s="66"/>
      <c r="O29" s="66"/>
      <c r="P29" s="80"/>
      <c r="Q29" s="70"/>
      <c r="R29" s="70"/>
      <c r="S29" s="70"/>
      <c r="T29" s="70"/>
      <c r="U29" s="70"/>
      <c r="V29" s="215"/>
      <c r="W29" s="126">
        <f t="shared" si="3"/>
        <v>11</v>
      </c>
    </row>
    <row r="30" spans="1:24" s="9" customFormat="1" ht="32.25" customHeight="1" x14ac:dyDescent="0.3">
      <c r="A30" s="11"/>
      <c r="B30" s="25"/>
      <c r="C30" s="216"/>
      <c r="D30" s="40"/>
      <c r="E30" s="40"/>
      <c r="F30" s="40"/>
      <c r="G30" s="40"/>
      <c r="H30" s="40"/>
      <c r="I30" s="214"/>
      <c r="J30" s="214"/>
      <c r="K30" s="42">
        <f>((I30-I$35)/(I$34-I$35))*2+1</f>
        <v>3</v>
      </c>
      <c r="L30" s="40"/>
      <c r="M30" s="24"/>
      <c r="N30" s="66"/>
      <c r="O30" s="66"/>
      <c r="P30" s="80"/>
      <c r="Q30" s="70"/>
      <c r="R30" s="70"/>
      <c r="S30" s="70"/>
      <c r="T30" s="70"/>
      <c r="U30" s="70"/>
      <c r="V30" s="80"/>
      <c r="W30" s="126">
        <f t="shared" si="3"/>
        <v>11</v>
      </c>
    </row>
    <row r="31" spans="1:24" s="9" customFormat="1" x14ac:dyDescent="0.3">
      <c r="A31" s="55"/>
      <c r="B31" s="53" t="s">
        <v>186</v>
      </c>
      <c r="C31" s="53"/>
      <c r="D31" s="55">
        <f>SUM(D7:D30)</f>
        <v>5239</v>
      </c>
      <c r="E31" s="59"/>
      <c r="F31" s="59"/>
      <c r="G31" s="59"/>
      <c r="H31" s="59"/>
      <c r="I31" s="219">
        <f>SUM(I7:I30)</f>
        <v>26.7</v>
      </c>
      <c r="J31" s="219"/>
      <c r="K31" s="55"/>
      <c r="L31" s="55"/>
      <c r="M31" s="55"/>
      <c r="N31" s="55"/>
      <c r="O31" s="55"/>
      <c r="P31" s="55"/>
      <c r="Q31" s="55"/>
      <c r="R31" s="55"/>
      <c r="S31" s="55"/>
      <c r="T31" s="55"/>
      <c r="U31" s="55"/>
      <c r="V31" s="55"/>
      <c r="W31" s="55"/>
    </row>
    <row r="32" spans="1:24" s="22" customFormat="1" x14ac:dyDescent="0.3">
      <c r="A32" s="17"/>
      <c r="B32" s="18"/>
      <c r="C32" s="216"/>
      <c r="D32" s="19"/>
      <c r="E32" s="19"/>
      <c r="F32" s="19"/>
      <c r="G32" s="19"/>
      <c r="H32" s="19"/>
      <c r="I32" s="104"/>
      <c r="J32" s="104"/>
      <c r="K32" s="20"/>
      <c r="L32" s="19"/>
      <c r="M32" s="21"/>
      <c r="W32" s="74"/>
    </row>
    <row r="33" spans="1:23" x14ac:dyDescent="0.3">
      <c r="C33" s="216"/>
    </row>
    <row r="34" spans="1:23" x14ac:dyDescent="0.3">
      <c r="B34" s="23"/>
      <c r="C34" s="216"/>
      <c r="F34" s="49" t="s">
        <v>187</v>
      </c>
      <c r="G34" s="49"/>
      <c r="H34" s="49"/>
      <c r="I34" s="212">
        <f>MIN(I9:I30)</f>
        <v>0</v>
      </c>
      <c r="J34" s="212"/>
    </row>
    <row r="35" spans="1:23" x14ac:dyDescent="0.3">
      <c r="F35" s="49" t="s">
        <v>123</v>
      </c>
      <c r="G35" s="49"/>
      <c r="H35" s="49"/>
      <c r="I35" s="213">
        <f>MAXA(I9:I30)</f>
        <v>16</v>
      </c>
      <c r="J35" s="213"/>
    </row>
    <row r="38" spans="1:23" ht="43.2" x14ac:dyDescent="0.3">
      <c r="A38" s="60"/>
      <c r="B38" s="60"/>
      <c r="C38" s="41" t="s">
        <v>225</v>
      </c>
      <c r="D38" s="60"/>
      <c r="E38" s="60"/>
      <c r="F38" s="60"/>
      <c r="G38" s="60"/>
      <c r="H38" s="60"/>
      <c r="I38" s="101"/>
      <c r="J38" s="101"/>
      <c r="K38" s="60"/>
      <c r="L38" s="60"/>
      <c r="M38" s="60"/>
      <c r="N38" s="472" t="s">
        <v>198</v>
      </c>
      <c r="O38" s="472" t="s">
        <v>22</v>
      </c>
      <c r="P38" s="473" t="s">
        <v>24</v>
      </c>
      <c r="Q38" s="473"/>
      <c r="R38" s="473"/>
      <c r="S38" s="469" t="s">
        <v>5</v>
      </c>
      <c r="T38" s="469"/>
      <c r="U38" s="469"/>
      <c r="V38" s="99" t="s">
        <v>2</v>
      </c>
      <c r="W38" s="77" t="s">
        <v>3</v>
      </c>
    </row>
    <row r="39" spans="1:23" ht="43.2" x14ac:dyDescent="0.3">
      <c r="A39" s="10" t="s">
        <v>0</v>
      </c>
      <c r="B39" s="6" t="s">
        <v>160</v>
      </c>
      <c r="C39" s="6" t="s">
        <v>8</v>
      </c>
      <c r="D39" s="13" t="s">
        <v>9</v>
      </c>
      <c r="E39" s="13" t="s">
        <v>226</v>
      </c>
      <c r="F39" s="13" t="s">
        <v>201</v>
      </c>
      <c r="G39" s="13"/>
      <c r="H39" s="13"/>
      <c r="I39" s="102" t="s">
        <v>227</v>
      </c>
      <c r="J39" s="102"/>
      <c r="K39" s="15" t="s">
        <v>196</v>
      </c>
      <c r="L39" s="13" t="s">
        <v>197</v>
      </c>
      <c r="M39" s="7" t="s">
        <v>18</v>
      </c>
      <c r="N39" s="472"/>
      <c r="O39" s="472"/>
      <c r="P39" s="78" t="s">
        <v>25</v>
      </c>
      <c r="Q39" s="78" t="s">
        <v>26</v>
      </c>
      <c r="R39" s="78" t="s">
        <v>27</v>
      </c>
      <c r="S39" s="109" t="s">
        <v>202</v>
      </c>
      <c r="T39" s="109" t="s">
        <v>29</v>
      </c>
      <c r="U39" s="109" t="s">
        <v>30</v>
      </c>
      <c r="V39" s="76"/>
      <c r="W39" s="76"/>
    </row>
    <row r="40" spans="1:23" ht="21.75" customHeight="1" x14ac:dyDescent="0.3">
      <c r="A40" s="11"/>
      <c r="B40" s="25"/>
      <c r="C40" s="24"/>
      <c r="D40" s="40"/>
      <c r="E40" s="40"/>
      <c r="F40" s="40"/>
      <c r="G40" s="40"/>
      <c r="H40" s="40"/>
      <c r="I40" s="98"/>
      <c r="J40" s="98"/>
      <c r="K40" s="42"/>
      <c r="L40" s="40"/>
      <c r="M40" s="24"/>
      <c r="N40" s="66"/>
      <c r="O40" s="66"/>
      <c r="P40" s="38"/>
      <c r="Q40" s="38"/>
      <c r="R40" s="38"/>
      <c r="S40" s="38"/>
      <c r="T40" s="38"/>
      <c r="U40" s="38"/>
      <c r="V40" s="67"/>
      <c r="W40" s="79"/>
    </row>
    <row r="41" spans="1:23" ht="33" customHeight="1" x14ac:dyDescent="0.3">
      <c r="A41" s="11"/>
      <c r="B41" s="25"/>
      <c r="C41" s="3"/>
      <c r="D41" s="24"/>
      <c r="E41" s="24"/>
      <c r="F41" s="24"/>
      <c r="G41" s="24"/>
      <c r="H41" s="24"/>
      <c r="I41" s="98"/>
      <c r="J41" s="98"/>
      <c r="K41" s="42"/>
      <c r="L41" s="24"/>
      <c r="M41" s="24"/>
      <c r="N41" s="66"/>
      <c r="O41" s="66"/>
      <c r="P41" s="38"/>
      <c r="Q41" s="38"/>
      <c r="R41" s="38"/>
      <c r="S41" s="38"/>
      <c r="T41" s="38"/>
      <c r="U41" s="38"/>
      <c r="V41" s="67"/>
      <c r="W41" s="79"/>
    </row>
    <row r="42" spans="1:23" ht="62.25" customHeight="1" x14ac:dyDescent="0.3">
      <c r="A42" s="11"/>
      <c r="B42" s="25"/>
      <c r="C42" s="24"/>
      <c r="D42" s="40"/>
      <c r="E42" s="40"/>
      <c r="F42" s="40"/>
      <c r="G42" s="40"/>
      <c r="H42" s="40"/>
      <c r="I42" s="98"/>
      <c r="J42" s="98"/>
      <c r="K42" s="42"/>
      <c r="L42" s="40"/>
      <c r="M42" s="24"/>
      <c r="N42" s="66"/>
      <c r="O42" s="66"/>
      <c r="P42" s="38"/>
      <c r="Q42" s="38"/>
      <c r="R42" s="38"/>
      <c r="S42" s="38"/>
      <c r="T42" s="38"/>
      <c r="U42" s="38"/>
      <c r="V42" s="67"/>
      <c r="W42" s="79"/>
    </row>
    <row r="43" spans="1:23" x14ac:dyDescent="0.3">
      <c r="A43" s="55"/>
      <c r="B43" s="53" t="s">
        <v>186</v>
      </c>
      <c r="C43" s="54"/>
      <c r="D43" s="55">
        <f>SUM(D39:D42)</f>
        <v>0</v>
      </c>
      <c r="E43" s="59"/>
      <c r="F43" s="59"/>
      <c r="G43" s="59"/>
      <c r="H43" s="59"/>
      <c r="I43" s="103">
        <f>SUM(I39:I42)</f>
        <v>0</v>
      </c>
      <c r="J43" s="103"/>
      <c r="K43" s="55"/>
      <c r="L43" s="55"/>
      <c r="M43" s="55"/>
      <c r="N43" s="55"/>
      <c r="O43" s="55"/>
      <c r="P43" s="55"/>
      <c r="Q43" s="55"/>
      <c r="R43" s="55"/>
      <c r="S43" s="55"/>
      <c r="T43" s="55"/>
      <c r="U43" s="55"/>
      <c r="V43" s="55"/>
      <c r="W43" s="55"/>
    </row>
  </sheetData>
  <mergeCells count="8">
    <mergeCell ref="N38:N39"/>
    <mergeCell ref="O38:O39"/>
    <mergeCell ref="P38:R38"/>
    <mergeCell ref="S38:U38"/>
    <mergeCell ref="N6:N7"/>
    <mergeCell ref="O6:O7"/>
    <mergeCell ref="P6:R6"/>
    <mergeCell ref="S6:U6"/>
  </mergeCells>
  <conditionalFormatting sqref="W40">
    <cfRule type="colorScale" priority="3">
      <colorScale>
        <cfvo type="min"/>
        <cfvo type="percentile" val="50"/>
        <cfvo type="max"/>
        <color rgb="FFF8696B"/>
        <color rgb="FFFFEB84"/>
        <color rgb="FF63BE7B"/>
      </colorScale>
    </cfRule>
  </conditionalFormatting>
  <conditionalFormatting sqref="W41:W42">
    <cfRule type="colorScale" priority="10">
      <colorScale>
        <cfvo type="min"/>
        <cfvo type="percentile" val="50"/>
        <cfvo type="max"/>
        <color rgb="FFF8696B"/>
        <color rgb="FFFFEB84"/>
        <color rgb="FF63BE7B"/>
      </colorScale>
    </cfRule>
  </conditionalFormatting>
  <conditionalFormatting sqref="W40:W42">
    <cfRule type="colorScale" priority="2">
      <colorScale>
        <cfvo type="min"/>
        <cfvo type="percentile" val="50"/>
        <cfvo type="max"/>
        <color rgb="FFF8696B"/>
        <color rgb="FFFFEB84"/>
        <color rgb="FF63BE7B"/>
      </colorScale>
    </cfRule>
  </conditionalFormatting>
  <conditionalFormatting sqref="W9:W30">
    <cfRule type="colorScale" priority="1">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fitToHeight="0" orientation="portrait" r:id="rId1"/>
  <headerFooter>
    <oddHeader>&amp;F</oddHeader>
    <oddFooter xml:space="preserve">&amp;L&amp;F&amp;C&amp;P av &amp;N&amp;R&amp;8Asplan Viak AS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lTekst xmlns="872bd2bc-0f70-41ee-9539-9d5ba8c1642e" xsi:nil="true"/>
    <FraTekst xmlns="872bd2bc-0f70-41ee-9539-9d5ba8c1642e" xsi:nil="true"/>
    <Revisjon xmlns="872bd2bc-0f70-41ee-9539-9d5ba8c1642e" xsi:nil="true"/>
    <KopiTekst xmlns="872bd2bc-0f70-41ee-9539-9d5ba8c1642e" xsi:nil="true"/>
    <Oppdragsnummer xmlns="872bd2bc-0f70-41ee-9539-9d5ba8c1642e">606432-62</Oppdragsnummer>
    <Dokumenttype xmlns="872bd2bc-0f70-41ee-9539-9d5ba8c1642e">Oppdragsdokument</Dokumenttype>
    <Dokumenttema xmlns="872bd2bc-0f70-41ee-9539-9d5ba8c1642e">5</Dokumenttema>
    <RevisjonsDato xmlns="872bd2bc-0f70-41ee-9539-9d5ba8c1642e" xsi:nil="true"/>
    <_dlc_DocId xmlns="4830aaf3-3fc4-4e2f-b8b3-0d0921fed78c">627615-1101330372-412</_dlc_DocId>
    <_dlc_DocIdUrl xmlns="4830aaf3-3fc4-4e2f-b8b3-0d0921fed78c">
      <Url>http://bikube/Oppdrag/627615/01/_layouts/15/DocIdRedir.aspx?ID=627615-1101330372-412</Url>
      <Description>627615-1101330372-412</Description>
    </_dlc_DocIdUrl>
    <Aktivitet xmlns="872bd2bc-0f70-41ee-9539-9d5ba8c1642e">1</Aktivitet>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48620AC0C887DB41816AEF283D198975" ma:contentTypeVersion="10" ma:contentTypeDescription="Opprett et nytt dokument." ma:contentTypeScope="" ma:versionID="9207a5ed581e29ca470d0d16d853d1e0">
  <xsd:schema xmlns:xsd="http://www.w3.org/2001/XMLSchema" xmlns:xs="http://www.w3.org/2001/XMLSchema" xmlns:p="http://schemas.microsoft.com/office/2006/metadata/properties" xmlns:ns2="4830aaf3-3fc4-4e2f-b8b3-0d0921fed78c" xmlns:ns3="872bd2bc-0f70-41ee-9539-9d5ba8c1642e" targetNamespace="http://schemas.microsoft.com/office/2006/metadata/properties" ma:root="true" ma:fieldsID="2ff5e0d34e22491a2e3a3b7640078540" ns2:_="" ns3:_="">
    <xsd:import namespace="4830aaf3-3fc4-4e2f-b8b3-0d0921fed78c"/>
    <xsd:import namespace="872bd2bc-0f70-41ee-9539-9d5ba8c1642e"/>
    <xsd:element name="properties">
      <xsd:complexType>
        <xsd:sequence>
          <xsd:element name="documentManagement">
            <xsd:complexType>
              <xsd:all>
                <xsd:element ref="ns2:_dlc_DocId" minOccurs="0"/>
                <xsd:element ref="ns2:_dlc_DocIdUrl" minOccurs="0"/>
                <xsd:element ref="ns2:_dlc_DocIdPersistId" minOccurs="0"/>
                <xsd:element ref="ns3:Dokumenttype"/>
                <xsd:element ref="ns3:Aktivitet" minOccurs="0"/>
                <xsd:element ref="ns3:Dokumenttema" minOccurs="0"/>
                <xsd:element ref="ns3:Revisjon" minOccurs="0"/>
                <xsd:element ref="ns3:RevisjonsDato" minOccurs="0"/>
                <xsd:element ref="ns3:TilTekst" minOccurs="0"/>
                <xsd:element ref="ns3:FraTekst" minOccurs="0"/>
                <xsd:element ref="ns3:KopiTekst" minOccurs="0"/>
                <xsd:element ref="ns3:Oppdragsnumme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0aaf3-3fc4-4e2f-b8b3-0d0921fed78c"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2bd2bc-0f70-41ee-9539-9d5ba8c1642e" elementFormDefault="qualified">
    <xsd:import namespace="http://schemas.microsoft.com/office/2006/documentManagement/types"/>
    <xsd:import namespace="http://schemas.microsoft.com/office/infopath/2007/PartnerControls"/>
    <xsd:element name="Dokumenttype" ma:index="11" ma:displayName="Dokumenttype" ma:default="Oppdragsdokument" ma:internalName="Dokumenttype">
      <xsd:simpleType>
        <xsd:restriction base="dms:Choice">
          <xsd:enumeration value="Oppdragsdokument"/>
          <xsd:enumeration value="Avtale"/>
          <xsd:enumeration value="Kart"/>
          <xsd:enumeration value="Notat"/>
          <xsd:enumeration value="Rapport"/>
          <xsd:enumeration value="Tegning"/>
          <xsd:enumeration value="Tilbud"/>
          <xsd:enumeration value="Brev"/>
          <xsd:enumeration value="Møte"/>
          <xsd:enumeration value="E-post"/>
          <xsd:enumeration value="Sjekkliste"/>
        </xsd:restriction>
      </xsd:simpleType>
    </xsd:element>
    <xsd:element name="Aktivitet" ma:index="12" nillable="true" ma:displayName="Aktivitet" ma:list="{6266FE6D-0871-4B0D-8E34-9779B8731736}" ma:internalName="Aktivitet" ma:showField="Title" ma:web="872bd2bc-0f70-41ee-9539-9d5ba8c1642e">
      <xsd:simpleType>
        <xsd:restriction base="dms:Lookup"/>
      </xsd:simpleType>
    </xsd:element>
    <xsd:element name="Dokumenttema" ma:index="13" nillable="true" ma:displayName="Dokumenttema" ma:list="{D34CFB01-04C0-4D01-8B75-971496E50E55}" ma:internalName="Dokumenttema" ma:showField="Title" ma:web="872bd2bc-0f70-41ee-9539-9d5ba8c1642e">
      <xsd:simpleType>
        <xsd:restriction base="dms:Lookup"/>
      </xsd:simpleType>
    </xsd:element>
    <xsd:element name="Revisjon" ma:index="14" nillable="true" ma:displayName="Revisjon" ma:internalName="Revisjon">
      <xsd:simpleType>
        <xsd:restriction base="dms:Text">
          <xsd:maxLength value="255"/>
        </xsd:restriction>
      </xsd:simpleType>
    </xsd:element>
    <xsd:element name="RevisjonsDato" ma:index="15" nillable="true" ma:displayName="RevisjonsDato" ma:format="DateOnly" ma:internalName="RevisjonsDato">
      <xsd:simpleType>
        <xsd:restriction base="dms:DateTime"/>
      </xsd:simpleType>
    </xsd:element>
    <xsd:element name="TilTekst" ma:index="16" nillable="true" ma:displayName="Til" ma:internalName="TilTekst">
      <xsd:simpleType>
        <xsd:restriction base="dms:Note">
          <xsd:maxLength value="255"/>
        </xsd:restriction>
      </xsd:simpleType>
    </xsd:element>
    <xsd:element name="FraTekst" ma:index="17" nillable="true" ma:displayName="Fra" ma:internalName="FraTekst">
      <xsd:simpleType>
        <xsd:restriction base="dms:Note">
          <xsd:maxLength value="255"/>
        </xsd:restriction>
      </xsd:simpleType>
    </xsd:element>
    <xsd:element name="KopiTekst" ma:index="18" nillable="true" ma:displayName="Kopi" ma:internalName="KopiTekst">
      <xsd:simpleType>
        <xsd:restriction base="dms:Note">
          <xsd:maxLength value="255"/>
        </xsd:restriction>
      </xsd:simpleType>
    </xsd:element>
    <xsd:element name="Oppdragsnummer" ma:index="19" nillable="true" ma:displayName="Oppdragsnummer" ma:default="627615-01" ma:internalName="Oppdragsnummer" ma:readOnly="false">
      <xsd:simpleType>
        <xsd:restriction base="dms:Text">
          <xsd:maxLength value="255"/>
        </xsd:restriction>
      </xsd:simpleType>
    </xsd:element>
    <xsd:element name="SharedWithUsers" ma:index="20"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73A64C-79AE-4EF2-A148-46379837CF6E}">
  <ds:schemaRefs>
    <ds:schemaRef ds:uri="http://schemas.microsoft.com/sharepoint/v3/contenttype/forms"/>
  </ds:schemaRefs>
</ds:datastoreItem>
</file>

<file path=customXml/itemProps2.xml><?xml version="1.0" encoding="utf-8"?>
<ds:datastoreItem xmlns:ds="http://schemas.openxmlformats.org/officeDocument/2006/customXml" ds:itemID="{5D71ACAC-1036-4A1E-BD7A-865B7FEFEE51}">
  <ds:schemaRefs>
    <ds:schemaRef ds:uri="http://www.w3.org/XML/1998/namespace"/>
    <ds:schemaRef ds:uri="872bd2bc-0f70-41ee-9539-9d5ba8c1642e"/>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4830aaf3-3fc4-4e2f-b8b3-0d0921fed78c"/>
    <ds:schemaRef ds:uri="http://purl.org/dc/dcmitype/"/>
  </ds:schemaRefs>
</ds:datastoreItem>
</file>

<file path=customXml/itemProps3.xml><?xml version="1.0" encoding="utf-8"?>
<ds:datastoreItem xmlns:ds="http://schemas.openxmlformats.org/officeDocument/2006/customXml" ds:itemID="{360DF6F7-DD23-4E79-A71E-55D602D78D1F}">
  <ds:schemaRefs>
    <ds:schemaRef ds:uri="http://schemas.microsoft.com/sharepoint/events"/>
  </ds:schemaRefs>
</ds:datastoreItem>
</file>

<file path=customXml/itemProps4.xml><?xml version="1.0" encoding="utf-8"?>
<ds:datastoreItem xmlns:ds="http://schemas.openxmlformats.org/officeDocument/2006/customXml" ds:itemID="{D8CF7F5B-B100-419C-974B-F7C8D5E21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0aaf3-3fc4-4e2f-b8b3-0d0921fed78c"/>
    <ds:schemaRef ds:uri="872bd2bc-0f70-41ee-9539-9d5ba8c16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15</vt:i4>
      </vt:variant>
    </vt:vector>
  </HeadingPairs>
  <TitlesOfParts>
    <vt:vector size="24" baseType="lpstr">
      <vt:lpstr> Handlingsplan VAO - Krøds.kom.</vt:lpstr>
      <vt:lpstr> Handlingsplan VAO - NVA</vt:lpstr>
      <vt:lpstr>Inv.tiltak avløp</vt:lpstr>
      <vt:lpstr>Inv.tiltak vann</vt:lpstr>
      <vt:lpstr>Inv.tiltak overvann</vt:lpstr>
      <vt:lpstr>Driftstiltak</vt:lpstr>
      <vt:lpstr>Plantiltak VAO</vt:lpstr>
      <vt:lpstr>Administrative tiltak </vt:lpstr>
      <vt:lpstr>Inv.tiltak vann_gml</vt:lpstr>
      <vt:lpstr>'Inv.tiltak vann_gml'!_GoBack</vt:lpstr>
      <vt:lpstr>' Handlingsplan VAO - Krøds.kom.'!Utskriftsområde</vt:lpstr>
      <vt:lpstr>' Handlingsplan VAO - NVA'!Utskriftsområde</vt:lpstr>
      <vt:lpstr>Driftstiltak!Utskriftsområde</vt:lpstr>
      <vt:lpstr>'Inv.tiltak avløp'!Utskriftsområde</vt:lpstr>
      <vt:lpstr>'Inv.tiltak overvann'!Utskriftsområde</vt:lpstr>
      <vt:lpstr>'Inv.tiltak vann'!Utskriftsområde</vt:lpstr>
      <vt:lpstr>'Inv.tiltak vann_gml'!Utskriftsområde</vt:lpstr>
      <vt:lpstr>' Handlingsplan VAO - Krøds.kom.'!Utskriftstitler</vt:lpstr>
      <vt:lpstr>' Handlingsplan VAO - NVA'!Utskriftstitler</vt:lpstr>
      <vt:lpstr>Driftstiltak!Utskriftstitler</vt:lpstr>
      <vt:lpstr>'Inv.tiltak avløp'!Utskriftstitler</vt:lpstr>
      <vt:lpstr>'Inv.tiltak overvann'!Utskriftstitler</vt:lpstr>
      <vt:lpstr>'Inv.tiltak vann'!Utskriftstitler</vt:lpstr>
      <vt:lpstr>'Inv.tiltak vann_gml'!Utskriftstitler</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Tiltaksliste </dc:title>
  <dc:subject>Excel</dc:subject>
  <dc:creator>Mari Kristel Gederaas</dc:creator>
  <cp:keywords/>
  <dc:description/>
  <cp:lastModifiedBy>Roy Andre Midtgård</cp:lastModifiedBy>
  <cp:revision/>
  <cp:lastPrinted>2023-02-28T14:25:50Z</cp:lastPrinted>
  <dcterms:created xsi:type="dcterms:W3CDTF">2015-03-06T07:40:54Z</dcterms:created>
  <dcterms:modified xsi:type="dcterms:W3CDTF">2023-03-02T12:14:13Z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kubeMalType">
    <vt:lpwstr>AsplanViakMal</vt:lpwstr>
  </property>
  <property fmtid="{D5CDD505-2E9C-101B-9397-08002B2CF9AE}" pid="3" name="ContentTypeId">
    <vt:lpwstr>0x01010048620AC0C887DB41816AEF283D198975</vt:lpwstr>
  </property>
  <property fmtid="{D5CDD505-2E9C-101B-9397-08002B2CF9AE}" pid="4" name="Order">
    <vt:r8>38000</vt:r8>
  </property>
  <property fmtid="{D5CDD505-2E9C-101B-9397-08002B2CF9AE}" pid="5" name="Hjelpekolonne for IT">
    <vt:lpwstr>Tomt Excel-dokument</vt:lpwstr>
  </property>
  <property fmtid="{D5CDD505-2E9C-101B-9397-08002B2CF9AE}" pid="6" name="_dlc_DocIdItemGuid">
    <vt:lpwstr>facc6e5b-458c-44a0-9af7-ee4e55422659</vt:lpwstr>
  </property>
</Properties>
</file>